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favellas\Desktop\"/>
    </mc:Choice>
  </mc:AlternateContent>
  <xr:revisionPtr revIDLastSave="0" documentId="13_ncr:1_{B88FDF22-21C9-4887-BD64-FBAC734AE61E}" xr6:coauthVersionLast="47" xr6:coauthVersionMax="47" xr10:uidLastSave="{00000000-0000-0000-0000-000000000000}"/>
  <workbookProtection workbookAlgorithmName="SHA-512" workbookHashValue="5f2YYng7KGaC05aT/FQmUV6IqVUymZ5NQt9qltyzD3+82coX061o4c1zSrl93UkGVIp1XM+79DMXvLPhHh+VbQ==" workbookSaltValue="RvKp7H/pSsx2yY1nV7ZzHA==" workbookSpinCount="100000" lockStructure="1"/>
  <bookViews>
    <workbookView xWindow="0" yWindow="-16320" windowWidth="29040" windowHeight="15840" firstSheet="1" activeTab="1" xr2:uid="{00000000-000D-0000-FFFF-FFFF00000000}"/>
  </bookViews>
  <sheets>
    <sheet name="Tipologie di intervento" sheetId="8" state="hidden" r:id="rId1"/>
    <sheet name="Schema di intervento" sheetId="3" r:id="rId2"/>
    <sheet name="Foglio1" sheetId="14" r:id="rId3"/>
    <sheet name="Foglio 2" sheetId="13" r:id="rId4"/>
    <sheet name="Foglio 3" sheetId="9" r:id="rId5"/>
    <sheet name="Ripartizione costi" sheetId="12" state="hidden" r:id="rId6"/>
  </sheets>
  <definedNames>
    <definedName name="_ftn1" localSheetId="1">'Schema di intervento'!#REF!</definedName>
    <definedName name="_ftnref1" localSheetId="1">'Schema di intervento'!#REF!</definedName>
    <definedName name="_xlnm.Print_Area" localSheetId="1">'Schema di intervento'!$A$1:$AB$44</definedName>
    <definedName name="_xlnm.Print_Area" localSheetId="0">'Tipologie di intervento'!$A$2:$D$12</definedName>
    <definedName name="_xlnm.Print_Titles" localSheetId="1">'Schema di intervento'!$2:$8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  <c r="I3" i="9"/>
  <c r="I4" i="9"/>
  <c r="I5" i="9"/>
  <c r="I6" i="9"/>
  <c r="I7" i="9"/>
  <c r="I8" i="9"/>
  <c r="I9" i="9"/>
  <c r="I10" i="9"/>
  <c r="J3" i="9" s="1"/>
  <c r="E3" i="9" s="1"/>
  <c r="I11" i="9"/>
  <c r="I12" i="9"/>
  <c r="I13" i="9"/>
  <c r="Q35" i="3"/>
  <c r="Q30" i="3"/>
  <c r="Q28" i="3"/>
  <c r="Q19" i="3"/>
  <c r="C3" i="9"/>
  <c r="C4" i="9"/>
  <c r="C5" i="9"/>
  <c r="C6" i="9"/>
  <c r="C7" i="9"/>
  <c r="C8" i="9"/>
  <c r="C9" i="9"/>
  <c r="C10" i="9"/>
  <c r="C11" i="9"/>
  <c r="C12" i="9"/>
  <c r="C13" i="9"/>
  <c r="B4" i="9"/>
  <c r="B5" i="9"/>
  <c r="B6" i="9"/>
  <c r="B7" i="9"/>
  <c r="B8" i="9"/>
  <c r="B9" i="9"/>
  <c r="B10" i="9"/>
  <c r="B11" i="9"/>
  <c r="B12" i="9"/>
  <c r="B13" i="9"/>
  <c r="B3" i="9"/>
  <c r="K6" i="3" l="1"/>
  <c r="L42" i="3" s="1"/>
  <c r="J6" i="3"/>
  <c r="I6" i="3"/>
  <c r="F6" i="3"/>
  <c r="G24" i="3" s="1"/>
  <c r="AA8" i="3"/>
  <c r="P10" i="3"/>
  <c r="L22" i="3"/>
  <c r="G27" i="3"/>
  <c r="L24" i="3" l="1"/>
  <c r="L27" i="3"/>
  <c r="L10" i="3"/>
  <c r="L30" i="3"/>
  <c r="Z8" i="3"/>
  <c r="U24" i="3" s="1"/>
  <c r="L13" i="3"/>
  <c r="L35" i="3"/>
  <c r="U35" i="3" s="1"/>
  <c r="L14" i="3"/>
  <c r="L44" i="3" s="1"/>
  <c r="L38" i="3"/>
  <c r="L15" i="3"/>
  <c r="L40" i="3"/>
  <c r="L18" i="3"/>
  <c r="G15" i="3"/>
  <c r="G18" i="3"/>
  <c r="G13" i="3"/>
  <c r="G14" i="3"/>
  <c r="G30" i="3"/>
  <c r="AB8" i="3"/>
  <c r="B2" i="13" s="1"/>
  <c r="G22" i="3"/>
  <c r="U22" i="3"/>
  <c r="U15" i="3"/>
  <c r="U18" i="3"/>
  <c r="D5" i="9"/>
  <c r="U10" i="3" l="1"/>
  <c r="U42" i="3"/>
  <c r="Q24" i="3"/>
  <c r="Q25" i="3"/>
  <c r="U14" i="3"/>
  <c r="Q14" i="3" s="1"/>
  <c r="U40" i="3"/>
  <c r="Q41" i="3" s="1"/>
  <c r="U30" i="3"/>
  <c r="U27" i="3"/>
  <c r="U13" i="3"/>
  <c r="Q13" i="3" s="1"/>
  <c r="U38" i="3"/>
  <c r="Q39" i="3" s="1"/>
  <c r="Q37" i="3"/>
  <c r="Q36" i="3"/>
  <c r="Q20" i="3"/>
  <c r="Q18" i="3"/>
  <c r="Q22" i="3"/>
  <c r="Q23" i="3"/>
  <c r="Q43" i="3"/>
  <c r="Q42" i="3"/>
  <c r="Q15" i="3"/>
  <c r="Q17" i="3"/>
  <c r="Q16" i="3"/>
  <c r="Q40" i="3"/>
  <c r="Q21" i="3"/>
  <c r="Q11" i="3"/>
  <c r="Q10" i="3"/>
  <c r="D7" i="9"/>
  <c r="Q33" i="3" l="1"/>
  <c r="Q32" i="3"/>
  <c r="Q31" i="3"/>
  <c r="Q38" i="3"/>
  <c r="Q27" i="3"/>
  <c r="Q29" i="3"/>
  <c r="U44" i="3"/>
  <c r="C11" i="8"/>
  <c r="C10" i="8"/>
  <c r="C9" i="8"/>
  <c r="C8" i="8"/>
  <c r="C7" i="8"/>
  <c r="C6" i="8"/>
  <c r="C5" i="8"/>
  <c r="C4" i="8"/>
  <c r="Q44" i="3" l="1"/>
  <c r="R47" i="3" s="1"/>
  <c r="D13" i="9"/>
  <c r="D12" i="9"/>
  <c r="D11" i="9"/>
  <c r="D10" i="9"/>
  <c r="D9" i="9"/>
  <c r="D8" i="9"/>
  <c r="D6" i="9"/>
  <c r="R29" i="3" s="1"/>
  <c r="D4" i="9"/>
  <c r="R21" i="3" s="1"/>
  <c r="D3" i="9"/>
  <c r="I44" i="3" s="1"/>
  <c r="R42" i="3" l="1"/>
  <c r="R25" i="3"/>
  <c r="R23" i="3"/>
  <c r="R27" i="3"/>
  <c r="R39" i="3"/>
  <c r="R11" i="3"/>
  <c r="R36" i="3"/>
  <c r="R28" i="3"/>
  <c r="R15" i="3"/>
  <c r="R40" i="3"/>
  <c r="R13" i="3"/>
  <c r="R24" i="3"/>
  <c r="R35" i="3"/>
  <c r="R18" i="3"/>
  <c r="R38" i="3"/>
  <c r="R10" i="3"/>
  <c r="R22" i="3"/>
  <c r="R30" i="3"/>
  <c r="R37" i="3"/>
  <c r="R31" i="3"/>
  <c r="R43" i="3"/>
  <c r="R16" i="3"/>
  <c r="R14" i="3"/>
  <c r="R19" i="3"/>
  <c r="R41" i="3"/>
  <c r="R32" i="3"/>
  <c r="R17" i="3"/>
  <c r="R33" i="3"/>
  <c r="R20" i="3"/>
  <c r="T37" i="3" l="1"/>
  <c r="S37" i="3"/>
  <c r="H30" i="3"/>
  <c r="H24" i="3"/>
  <c r="H27" i="3"/>
  <c r="H10" i="3"/>
  <c r="H13" i="3"/>
  <c r="H15" i="3"/>
  <c r="H14" i="3"/>
  <c r="H18" i="3"/>
  <c r="H22" i="3"/>
  <c r="J44" i="3"/>
  <c r="C12" i="8" l="1"/>
  <c r="W42" i="3" l="1"/>
  <c r="V40" i="3"/>
  <c r="V38" i="3"/>
  <c r="W35" i="3"/>
  <c r="K44" i="3"/>
  <c r="W30" i="3"/>
  <c r="W27" i="3"/>
  <c r="W24" i="3"/>
  <c r="V22" i="3"/>
  <c r="W18" i="3"/>
  <c r="F44" i="3"/>
  <c r="G38" i="3"/>
  <c r="H38" i="3" s="1"/>
  <c r="G35" i="3"/>
  <c r="H35" i="3" s="1"/>
  <c r="H44" i="3" s="1"/>
  <c r="V10" i="3" l="1"/>
  <c r="V15" i="3"/>
  <c r="W10" i="3"/>
  <c r="T14" i="3"/>
  <c r="V14" i="3"/>
  <c r="W14" i="3"/>
  <c r="S13" i="3"/>
  <c r="V13" i="3"/>
  <c r="W13" i="3"/>
  <c r="T19" i="3"/>
  <c r="T32" i="3"/>
  <c r="G44" i="3"/>
  <c r="S10" i="3" l="1"/>
  <c r="W44" i="3"/>
  <c r="V44" i="3"/>
  <c r="X47" i="3" s="1"/>
  <c r="Y13" i="3"/>
  <c r="X13" i="3"/>
  <c r="Y14" i="3"/>
  <c r="X14" i="3"/>
  <c r="T41" i="3"/>
  <c r="T43" i="3"/>
  <c r="S36" i="3"/>
  <c r="T33" i="3"/>
  <c r="S38" i="3"/>
  <c r="S28" i="3"/>
  <c r="S30" i="3"/>
  <c r="T17" i="3"/>
  <c r="S24" i="3"/>
  <c r="S42" i="3"/>
  <c r="S27" i="3"/>
  <c r="S39" i="3"/>
  <c r="T16" i="3"/>
  <c r="S40" i="3"/>
  <c r="T20" i="3"/>
  <c r="S22" i="3"/>
  <c r="S23" i="3"/>
  <c r="S29" i="3"/>
  <c r="S35" i="3"/>
  <c r="S21" i="3"/>
  <c r="S15" i="3"/>
  <c r="S25" i="3"/>
  <c r="C2" i="13" l="1"/>
  <c r="D2" i="13"/>
  <c r="Y47" i="3"/>
  <c r="S18" i="3"/>
  <c r="R44" i="3"/>
  <c r="T31" i="3"/>
  <c r="S31" i="3"/>
  <c r="Y10" i="3"/>
  <c r="S11" i="3"/>
  <c r="X40" i="3"/>
  <c r="R52" i="3"/>
  <c r="Y30" i="3"/>
  <c r="Y42" i="3"/>
  <c r="Y27" i="3"/>
  <c r="X10" i="3"/>
  <c r="X22" i="3"/>
  <c r="Y24" i="3"/>
  <c r="X15" i="3"/>
  <c r="X38" i="3"/>
  <c r="Y18" i="3"/>
  <c r="Y35" i="3"/>
  <c r="P38" i="3"/>
  <c r="P40" i="3"/>
  <c r="P42" i="3"/>
  <c r="P24" i="3"/>
  <c r="B3" i="13" l="1"/>
  <c r="R48" i="3"/>
  <c r="S44" i="3"/>
  <c r="B3" i="12" s="1"/>
  <c r="B11" i="12" s="1"/>
  <c r="T44" i="3"/>
  <c r="C3" i="12" s="1"/>
  <c r="X44" i="3"/>
  <c r="Y44" i="3"/>
  <c r="P35" i="3"/>
  <c r="P30" i="3"/>
  <c r="R49" i="3" l="1"/>
  <c r="R50" i="3" s="1"/>
  <c r="B7" i="13"/>
  <c r="B4" i="13"/>
  <c r="B5" i="13" s="1"/>
  <c r="D3" i="12"/>
  <c r="B4" i="12" s="1"/>
  <c r="B5" i="12" s="1"/>
  <c r="R53" i="3"/>
  <c r="Y48" i="3"/>
  <c r="D3" i="13"/>
  <c r="X48" i="3"/>
  <c r="C3" i="13"/>
  <c r="C11" i="12"/>
  <c r="C13" i="12" s="1"/>
  <c r="C5" i="12"/>
  <c r="M44" i="3"/>
  <c r="D4" i="12" l="1"/>
  <c r="D5" i="12" s="1"/>
  <c r="F4" i="12" s="1"/>
  <c r="Y49" i="3"/>
  <c r="Y50" i="3" s="1"/>
  <c r="D7" i="13"/>
  <c r="X49" i="3"/>
  <c r="X50" i="3" s="1"/>
  <c r="C7" i="13"/>
  <c r="F3" i="12"/>
  <c r="D4" i="13"/>
  <c r="D5" i="13" s="1"/>
  <c r="C4" i="13"/>
  <c r="C5" i="13" s="1"/>
  <c r="D11" i="12"/>
  <c r="B12" i="12" s="1"/>
  <c r="B13" i="12" s="1"/>
  <c r="D13" i="12" s="1"/>
  <c r="F11" i="12" s="1"/>
  <c r="P27" i="3"/>
  <c r="P22" i="3"/>
  <c r="P18" i="3"/>
  <c r="P15" i="3"/>
  <c r="P14" i="3"/>
  <c r="P13" i="3"/>
</calcChain>
</file>

<file path=xl/sharedStrings.xml><?xml version="1.0" encoding="utf-8"?>
<sst xmlns="http://schemas.openxmlformats.org/spreadsheetml/2006/main" count="207" uniqueCount="147">
  <si>
    <t>TIPOLOGIA DI INTERVENTO</t>
  </si>
  <si>
    <t>(A)</t>
  </si>
  <si>
    <t>FUNZIONE</t>
  </si>
  <si>
    <t>(B)</t>
  </si>
  <si>
    <t>LUOGO</t>
  </si>
  <si>
    <t>(C)</t>
  </si>
  <si>
    <t>PRESTAZIONI</t>
  </si>
  <si>
    <t>(D)</t>
  </si>
  <si>
    <t>(E)</t>
  </si>
  <si>
    <t>(F)</t>
  </si>
  <si>
    <t>FIGURE PROFESSIONALI</t>
  </si>
  <si>
    <t>AMMINISTRATIVO</t>
  </si>
  <si>
    <t>MEDIATORE CULTURALE</t>
  </si>
  <si>
    <t>(G)</t>
  </si>
  <si>
    <t>(H)</t>
  </si>
  <si>
    <t>(I)</t>
  </si>
  <si>
    <t>(L)</t>
  </si>
  <si>
    <t>(M)</t>
  </si>
  <si>
    <t>(N)</t>
  </si>
  <si>
    <t>(O)</t>
  </si>
  <si>
    <t>(P)</t>
  </si>
  <si>
    <t>ATTIVITA' DI COORDINAMENTO E GESTIONE</t>
  </si>
  <si>
    <t>ATTIVITA' DI EQUIPE</t>
  </si>
  <si>
    <t>Psicologo</t>
  </si>
  <si>
    <t>Medico</t>
  </si>
  <si>
    <t>Assistente sociale</t>
  </si>
  <si>
    <t>PESO %</t>
  </si>
  <si>
    <t>NOTE</t>
  </si>
  <si>
    <t>Pronto intervento</t>
  </si>
  <si>
    <t>n.</t>
  </si>
  <si>
    <t>FUNZIONI TRASVERSALI</t>
  </si>
  <si>
    <t>Assistente Sociale</t>
  </si>
  <si>
    <t>Intervento ed assistenza su base quotidiana, incluso lo svolgimento di attività laboratoriali.</t>
  </si>
  <si>
    <r>
      <t xml:space="preserve">Osservazione e aggancio precoce 
</t>
    </r>
    <r>
      <rPr>
        <i/>
        <sz val="10"/>
        <color theme="1"/>
        <rFont val="Calibri"/>
        <family val="2"/>
        <scheme val="minor"/>
      </rPr>
      <t>(Popolazione target)</t>
    </r>
  </si>
  <si>
    <t>ASA</t>
  </si>
  <si>
    <t xml:space="preserve">Assistente Sociale </t>
  </si>
  <si>
    <t>Esperto legale</t>
  </si>
  <si>
    <r>
      <t xml:space="preserve">Pronto intervento 
</t>
    </r>
    <r>
      <rPr>
        <i/>
        <sz val="10"/>
        <color theme="1"/>
        <rFont val="Calibri"/>
        <family val="2"/>
        <scheme val="minor"/>
      </rPr>
      <t>(Piccoli gruppi e/o individuale)</t>
    </r>
  </si>
  <si>
    <r>
      <rPr>
        <b/>
        <sz val="10"/>
        <color theme="1"/>
        <rFont val="Calibri"/>
        <family val="2"/>
        <scheme val="minor"/>
      </rPr>
      <t>Orientamento sulle opportunità di accoglienza e prima presa in carico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(Piccoli gruppi e/o individuale)</t>
    </r>
  </si>
  <si>
    <r>
      <rPr>
        <b/>
        <sz val="10"/>
        <color theme="1"/>
        <rFont val="Calibri"/>
        <family val="2"/>
        <scheme val="minor"/>
      </rPr>
      <t>Segretariato sociale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(Piccoli gruppi e/o individuale)</t>
    </r>
  </si>
  <si>
    <r>
      <rPr>
        <b/>
        <sz val="10"/>
        <color theme="1"/>
        <rFont val="Calibri"/>
        <family val="2"/>
        <scheme val="minor"/>
      </rPr>
      <t>Accoglienza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(Piccoli gruppi e/o individuale)</t>
    </r>
  </si>
  <si>
    <r>
      <rPr>
        <b/>
        <sz val="10"/>
        <color theme="1"/>
        <rFont val="Calibri"/>
        <family val="2"/>
        <scheme val="minor"/>
      </rPr>
      <t>Percorsi di inclusione sociale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(Piccoli gruppi e/o individuale)</t>
    </r>
    <r>
      <rPr>
        <sz val="10"/>
        <color theme="1"/>
        <rFont val="Calibri"/>
        <family val="2"/>
        <scheme val="minor"/>
      </rPr>
      <t xml:space="preserve">
</t>
    </r>
  </si>
  <si>
    <t>Sensibilizzazione della comunità anche per contrastare gli eventuali conflitti sociali (“detensionamento sociale”)</t>
  </si>
  <si>
    <t>Osservazione e aggancio precoce</t>
  </si>
  <si>
    <t>Orientamento sulle opportunità di accoglienza e prima presa in carico</t>
  </si>
  <si>
    <t>Segretariato sociale</t>
  </si>
  <si>
    <t>Accoglienza</t>
  </si>
  <si>
    <t>Percorsi di inclusione sociale</t>
  </si>
  <si>
    <t>Accompagnamento ai servizi</t>
  </si>
  <si>
    <t>- Osservazione del fenomeno sul territorio (da un punto di vista sociale e sanitario) e mappatura periodica;
- Controllo sociale e mediazione (tra gruppi di utenti ed altri cittadini e con amministrazione/forze dell’ordine).</t>
  </si>
  <si>
    <t>- Recupero delle competenze residue;
- Progettazione con la persona di un percorso verso una possibile autonomia.</t>
  </si>
  <si>
    <t>Accompagnamento ai servizi volto a non vanificare l’opportunità di aggancio a un servizio; mediazione tra reticenze del soggetto e servizio strutturato.</t>
  </si>
  <si>
    <t>Supporto materiale e psico-relazionale (ascolto).</t>
  </si>
  <si>
    <t>Drop-in / Centro diurno.</t>
  </si>
  <si>
    <t>Unità di strada (a seconda della presenza dei soggetti da agganciare sul territorio: luoghi segnalati per abuso di sostanze e spaccio; aree dismesse; parchi; parcheggi; boschi; stazioni/passanti ferroviari).</t>
  </si>
  <si>
    <t>Drop in / Centri diurni / Centri di ascolto.</t>
  </si>
  <si>
    <t>PESO PERCENTUALE DELLE DIVERSE TIPOLOGIE DI INTERVENTO - AREA 3</t>
  </si>
  <si>
    <r>
      <t xml:space="preserve">Unità di strada (a seconda del territorio: luoghi segnalati per abuso di sostanze e spaccio; aree dismesse; parchi; parcheggi; boschi; stazioni/passanti ferroviari).
</t>
    </r>
    <r>
      <rPr>
        <i/>
        <sz val="10"/>
        <rFont val="Calibri"/>
        <family val="2"/>
        <scheme val="minor"/>
      </rPr>
      <t>Agisce anche su appuntamento, una volta strutturata la relazione.</t>
    </r>
  </si>
  <si>
    <t>Intervento ed assistenza in situazioni di “emergenza” e di mantenimento dell'aggancio.</t>
  </si>
  <si>
    <t>PESO % TIPOLOGIA DI INTERVENTO</t>
  </si>
  <si>
    <t>COORDINATORE
(Educatore, Assistente sociale, Sociologo, Psicologo)</t>
  </si>
  <si>
    <t>Educatore</t>
  </si>
  <si>
    <t>Drop-in / Centro diurno / Spazio di inclusione (spazio che prevede l’adesione dell’utente ad un percorso evolutivo).</t>
  </si>
  <si>
    <t>Unità mobile.</t>
  </si>
  <si>
    <t>ORE</t>
  </si>
  <si>
    <r>
      <t xml:space="preserve">IPOTESI MONTE ORE TEORICO COMPLESSIVO </t>
    </r>
    <r>
      <rPr>
        <b/>
        <u/>
        <sz val="10"/>
        <color rgb="FF000000"/>
        <rFont val="Calibri"/>
        <family val="2"/>
      </rPr>
      <t>esclusa attività di equipe</t>
    </r>
    <r>
      <rPr>
        <b/>
        <i/>
        <sz val="10"/>
        <color rgb="FF000000"/>
        <rFont val="Calibri"/>
        <family val="2"/>
      </rPr>
      <t xml:space="preserve">
(Escluse le figure trasversali)</t>
    </r>
  </si>
  <si>
    <r>
      <t xml:space="preserve">IPOTESI MONTE ORE TEORICO COMPLESSIVO </t>
    </r>
    <r>
      <rPr>
        <b/>
        <u/>
        <sz val="10"/>
        <color rgb="FF000000"/>
        <rFont val="Calibri"/>
        <family val="2"/>
      </rPr>
      <t>inclusa attività di equipe</t>
    </r>
    <r>
      <rPr>
        <b/>
        <i/>
        <sz val="10"/>
        <color rgb="FF000000"/>
        <rFont val="Calibri"/>
        <family val="2"/>
      </rPr>
      <t xml:space="preserve">
(Escluse le figure trasversali)</t>
    </r>
  </si>
  <si>
    <t>Infermiere / Assistente Sanitario</t>
  </si>
  <si>
    <t>Infermiere</t>
  </si>
  <si>
    <t>colonna di calcolo</t>
  </si>
  <si>
    <t>(Q)</t>
  </si>
  <si>
    <t>(R)</t>
  </si>
  <si>
    <t>Figura professionale</t>
  </si>
  <si>
    <t>Costi standard</t>
  </si>
  <si>
    <t>Coordinatore (Educatore, Assistente sociale, Sociologo, Psicologo)</t>
  </si>
  <si>
    <t>ATS/AssT</t>
  </si>
  <si>
    <t>Enti locali/Terzo Settore</t>
  </si>
  <si>
    <t>media</t>
  </si>
  <si>
    <t>Amministrativo</t>
  </si>
  <si>
    <t>Assistente sanitario</t>
  </si>
  <si>
    <t>Esperto Legale</t>
  </si>
  <si>
    <t>Mediatore culturale</t>
  </si>
  <si>
    <t>Sociologo</t>
  </si>
  <si>
    <t>Educatore (socio-sanitario/socio-pedagogico)</t>
  </si>
  <si>
    <t>EQUIPE</t>
  </si>
  <si>
    <t>COSTO</t>
  </si>
  <si>
    <t>(S)</t>
  </si>
  <si>
    <t>ORE UM - US</t>
  </si>
  <si>
    <t>ORE DROP-IN</t>
  </si>
  <si>
    <t>(T)</t>
  </si>
  <si>
    <t>(U)</t>
  </si>
  <si>
    <t>COSTI UM - US</t>
  </si>
  <si>
    <t>COSTI DROP-IN</t>
  </si>
  <si>
    <r>
      <t xml:space="preserve">- Accompagnamento all’ottenimento dei documenti (residenza/domicilio e similari, tessera sanitaria, permesso di soggiorno, etc.);
- Accesso a postazione internet (ad es. per la creazione di un indirizzo di posta elettronica o l’accesso alla mail);
- Accompagnamento alla ricerca di soluzioni abitative;
- Accompagnamento all’ottenimento di sussidi;
- Consulenze legali;
- </t>
    </r>
    <r>
      <rPr>
        <b/>
        <sz val="10"/>
        <color theme="1"/>
        <rFont val="Calibri"/>
        <family val="2"/>
        <scheme val="minor"/>
      </rPr>
      <t>Attività di equipe</t>
    </r>
    <r>
      <rPr>
        <sz val="10"/>
        <color theme="1"/>
        <rFont val="Calibri"/>
        <family val="2"/>
        <scheme val="minor"/>
      </rPr>
      <t>.</t>
    </r>
  </si>
  <si>
    <r>
      <t xml:space="preserve">- Contatto e accompagnamento anche fisico ai servizi presenti sul territorio, incluso accompagnamento al drop in;
- Condivisione con operatori dei servizi sia in momenti preparatori che verifiche sui feedback;
- </t>
    </r>
    <r>
      <rPr>
        <b/>
        <sz val="10"/>
        <color theme="1"/>
        <rFont val="Calibri"/>
        <family val="2"/>
        <scheme val="minor"/>
      </rPr>
      <t>Attività di equipe</t>
    </r>
    <r>
      <rPr>
        <sz val="10"/>
        <color theme="1"/>
        <rFont val="Calibri"/>
        <family val="2"/>
        <scheme val="minor"/>
      </rPr>
      <t>.</t>
    </r>
  </si>
  <si>
    <t xml:space="preserve">Assistenza e supporto per l'ottenimento di documenti, ricerca di soluzioni abitative etc. </t>
  </si>
  <si>
    <t>- Territorio;
- Luoghi di ritrovo informali ed istituzionali;
- Momenti di ritrovo formalizzati;
- Quartieri e caseggiati popolari (ERP sia comunale che ALER);
- Unità di strada;
- Drop-in.</t>
  </si>
  <si>
    <t>- Unità di strada (a seconda del territorio: luoghi segnalati per abuso di sostanze e spaccio, aree dismesse, parchi, parcheggi, boschi, stazioni/passanti ferroviari);
- Drop-in;
- Luoghi sensibili quali sale di aspetto di ospedali e pronto soccorso, edifici abbandonati, centri di aggregazione (centri diurni e centri sociali per adulti, dintorni delle sale bingo, centri scommesse, bar, etc.).</t>
  </si>
  <si>
    <t xml:space="preserve">- Informazione di base/generale;
- Attivazione di processi di conoscenza e sensibilizzazione;
- Attivazione reti associative. </t>
  </si>
  <si>
    <r>
      <rPr>
        <sz val="10"/>
        <rFont val="Calibri"/>
        <family val="2"/>
        <scheme val="minor"/>
      </rPr>
      <t>- Primo contatto con i destinatari;
- Azioni informative mirate sui comportamenti a rischio;</t>
    </r>
    <r>
      <rPr>
        <sz val="10"/>
        <color theme="1"/>
        <rFont val="Calibri"/>
        <family val="2"/>
        <scheme val="minor"/>
      </rPr>
      <t xml:space="preserve">
- Orientamento ai servizi territoriali;
- Distribuzione kit emergenza freddo, kit igiene personale, etc.; 
</t>
    </r>
    <r>
      <rPr>
        <sz val="10"/>
        <color rgb="FF00B050"/>
        <rFont val="Calibri"/>
        <family val="2"/>
        <scheme val="minor"/>
      </rPr>
      <t>- Distribuzione di materiale sanitario (ad es. preservativi, acqua distillata, farmaci salvavita, kit specifici);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rgb="FF00B050"/>
        <rFont val="Calibri"/>
        <family val="2"/>
        <scheme val="minor"/>
      </rPr>
      <t xml:space="preserve">- Valutazioni e piccole medicazioni;
- Attività di screening e somministrazione test diagnostici (HIV, HCV, etc.);
- Distribuzione farmaci da banco;
- Distribuzione e raccolta siringhe;
</t>
    </r>
    <r>
      <rPr>
        <b/>
        <sz val="10"/>
        <rFont val="Calibri"/>
        <family val="2"/>
        <scheme val="minor"/>
      </rPr>
      <t>- Attività di equipe.</t>
    </r>
  </si>
  <si>
    <t>Conoscenza e prima presa in carico.</t>
  </si>
  <si>
    <r>
      <t xml:space="preserve">- Primo contatto con i destinatari;
- Azioni informative mirate sui comportamenti a rischio;
- Distribuzione kit emergenza freddo, kit igiene personale, etc.;
- Spazio tregua e somministrazione generi di prima necessità;
</t>
    </r>
    <r>
      <rPr>
        <sz val="10"/>
        <color rgb="FF00B050"/>
        <rFont val="Calibri"/>
        <family val="2"/>
        <scheme val="minor"/>
      </rPr>
      <t>- Distribuzione di materiale sanitario (ad es. preservativi, acqua distillata, farmaci salvavita, kit specifici);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rgb="FF00B050"/>
        <rFont val="Calibri"/>
        <family val="2"/>
        <scheme val="minor"/>
      </rPr>
      <t>- Valutazioni e piccole medicazioni;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rgb="FF00B050"/>
        <rFont val="Calibri"/>
        <family val="2"/>
        <scheme val="minor"/>
      </rPr>
      <t xml:space="preserve">- Distribuzione farmaci da banco;
- Distribuzione e raccolta siringhe;
</t>
    </r>
    <r>
      <rPr>
        <b/>
        <sz val="10"/>
        <rFont val="Calibri"/>
        <family val="2"/>
        <scheme val="minor"/>
      </rPr>
      <t>- Attività di equipe.</t>
    </r>
  </si>
  <si>
    <r>
      <t>- Informazioni e orientamento ai servizi sanitari e sociali (ad es. dormitori, docce, mense) a disposizione sul territorio, incluse informazioni sul drop in;
- Consegna di materiale informativo relativamente ai servizi;
- Rilevazione e registrazione dati;
- Accompagnamento delle persone intercettate quando se ne ravvisa la necessità;
- Contatto con operatori dei servizi specialistici per orientamento mirato;</t>
    </r>
    <r>
      <rPr>
        <b/>
        <sz val="10"/>
        <rFont val="Calibri"/>
        <family val="2"/>
        <scheme val="minor"/>
      </rPr>
      <t xml:space="preserve">
- Attività di equipe.</t>
    </r>
  </si>
  <si>
    <r>
      <t xml:space="preserve">- Informazioni sui servizi sanitari e sociali (ad es. dormitori, docce, mense, etc.) a disposizione sul territorio;
- Consegna di materiale informativo relativamente ai servizi;
- Rilevazione e registrazione dati (Cartella informatizzata: Scheda anagrafica, Prestazioni, Scheda di rischio, colloqui, etc.);
</t>
    </r>
    <r>
      <rPr>
        <sz val="10"/>
        <rFont val="Calibri"/>
        <family val="2"/>
        <scheme val="minor"/>
      </rPr>
      <t>- Anamnesi e profilazione del rischio;
-</t>
    </r>
    <r>
      <rPr>
        <b/>
        <sz val="10"/>
        <rFont val="Calibri"/>
        <family val="2"/>
        <scheme val="minor"/>
      </rPr>
      <t xml:space="preserve"> Attività di equipe</t>
    </r>
    <r>
      <rPr>
        <sz val="10"/>
        <rFont val="Calibri"/>
        <family val="2"/>
        <scheme val="minor"/>
      </rPr>
      <t>.</t>
    </r>
  </si>
  <si>
    <r>
      <t xml:space="preserve">- Prima lettura "strutturata" dei bisogni della persona;
- Presentazione del servizio, sulla base dello specifico bisogno della persona;
- Distribuzione beni di comfort (ad es. kit emergenza freddo, kit igiene personale, etc.);
- Spazio tregua e distribuzione generi di prima necessità;
- Servizio docce, guardaroba e lavanderia;
- Gruppi di mutuo aiuto;
- Informazione mirata e stimolo al dialogo di gruppo su specifiche tematiche;
- Attivazione e gestione di gruppi omogenei (ad es. per genere, tematiche, età, comportamenti, etc.) finalizzati all’attivazione e allo sviluppo di specifiche competenze;
- Stesura verbali /registrazione attività;
</t>
    </r>
    <r>
      <rPr>
        <sz val="10"/>
        <color rgb="FF00B050"/>
        <rFont val="Calibri"/>
        <family val="2"/>
        <scheme val="minor"/>
      </rPr>
      <t>- Distribuzione informata di materiale sanitario (ad es. preservativi, acqua distillata, farmaci salvavita, kit specifici);</t>
    </r>
    <r>
      <rPr>
        <sz val="10"/>
        <rFont val="Calibri"/>
        <family val="2"/>
        <scheme val="minor"/>
      </rPr>
      <t xml:space="preserve">
</t>
    </r>
    <r>
      <rPr>
        <sz val="10"/>
        <color rgb="FF00B050"/>
        <rFont val="Calibri"/>
        <family val="2"/>
        <scheme val="minor"/>
      </rPr>
      <t xml:space="preserve">- Attività di screening e somministrazione test diagnostici (HIV, HCV, etc.);
- Distribuzione informata e raccolta siringhe;
- Custodia e monitoraggio dell’auto-somministrazione terapie;
- Distribuzione informata di farmaci da banco;
- Alert (ad es. analisi chimica delle sostanze e collegamento con il Sistema di Allerta Nazionale);
- Visite mediche;
</t>
    </r>
    <r>
      <rPr>
        <b/>
        <sz val="10"/>
        <rFont val="Calibri"/>
        <family val="2"/>
        <scheme val="minor"/>
      </rPr>
      <t>- Attività di equipe.</t>
    </r>
  </si>
  <si>
    <r>
      <t>- Progettazione individualizzata (valutazione e attivazione delle risorse residuali);
- Percorsi di motivazione al cambiamento;
- Consulenza sociale, educativa ed abitativa per attivare un percorso di autonomia della persona;
- Azioni di inserimento abitativo anche temporaneo (</t>
    </r>
    <r>
      <rPr>
        <i/>
        <sz val="10"/>
        <rFont val="Calibri"/>
        <family val="2"/>
        <scheme val="minor"/>
      </rPr>
      <t>Housing</t>
    </r>
    <r>
      <rPr>
        <sz val="10"/>
        <rFont val="Calibri"/>
        <family val="2"/>
        <scheme val="minor"/>
      </rPr>
      <t xml:space="preserve"> sociale);
- Orientamento a percorsi di tirocinio e inserimento lavorativo;
- Gruppi di mutuo aiuto, finalizzati all'attivazione della persona;
- Attività di socializzazione;
- Attività di formazione;
- Attività occupazionali;
</t>
    </r>
    <r>
      <rPr>
        <b/>
        <sz val="10"/>
        <rFont val="Calibri"/>
        <family val="2"/>
        <scheme val="minor"/>
      </rPr>
      <t>- Attività di equipe.</t>
    </r>
  </si>
  <si>
    <r>
      <t xml:space="preserve">- Colloquio individuale di orientamento, finalizzato all'accompagnamento ai servizi;
- Consulenza sociale, educativa ed abitativa;
</t>
    </r>
    <r>
      <rPr>
        <sz val="10"/>
        <color rgb="FF00B050"/>
        <rFont val="Calibri"/>
        <family val="2"/>
        <scheme val="minor"/>
      </rPr>
      <t xml:space="preserve">- Consulenza sanitaria;
</t>
    </r>
    <r>
      <rPr>
        <b/>
        <sz val="10"/>
        <rFont val="Calibri"/>
        <family val="2"/>
        <scheme val="minor"/>
      </rPr>
      <t>- Attività di equipe.</t>
    </r>
  </si>
  <si>
    <r>
      <t xml:space="preserve">- Contatto e accompagnamento anche fisico ai servizi presenti sul territorio;
- Colloquio individuale di orientamento, finalizzato all'accompagnamento ai servizi;
- Consulenza sociale, educativa ed abitativa;
- Counseling / monitoraggio dei percorsi e supporto nella tenuta;
- Analisi periodica dei dati, al fine di monitorare l'efficacia degli interventi rispetto alla totalità dei casi in ottica ricerca-azione;
</t>
    </r>
    <r>
      <rPr>
        <sz val="10"/>
        <color rgb="FF00B050"/>
        <rFont val="Calibri"/>
        <family val="2"/>
        <scheme val="minor"/>
      </rPr>
      <t xml:space="preserve">- Consulenza sanitaria;
</t>
    </r>
    <r>
      <rPr>
        <b/>
        <sz val="10"/>
        <rFont val="Calibri"/>
        <family val="2"/>
        <scheme val="minor"/>
      </rPr>
      <t>- Attività di equipe.</t>
    </r>
  </si>
  <si>
    <r>
      <rPr>
        <sz val="10"/>
        <rFont val="Calibri"/>
        <family val="2"/>
        <scheme val="minor"/>
      </rPr>
      <t xml:space="preserve">- Informazione e sensibilizzazione verso il gruppo e verso il quartiere, ascolto e presenza significativa con gli abitanti, mediazione tra i gruppi agganciati e gli abitanti/quartiere;
- Consegna di materiale informativo (cartaceo/social);
- Definizione di prassi;
- Partecipazione a tavoli specifici;
- Incontro con opinion leader della comunità (ad es. autorità civili e religiose anche informali, gestori di locali, associazioni, scuole etc.);
- Partecipazione a momenti istituzionali di rete su specifiche situazioni locali;
- Stimolo e partecipazione a situazioni di ruolo attivo da parte della comunità/utenti rispetto ad interventi di riqualificazione urbana/ambientale (ad es. raccolta delle siringhe, pulizia delle rive del fiume nel tratto cittadino, piantumazione di piante o fiori in spazi pubblici);
- Presentazione del servizio e conoscenza reciproca (sensibilizzazione degli operatori dei servizi sociali ed altri servizi specialistici); 
- Momenti pubblici sia divulgativo che a carattere aggregativo, con intento di sensibilizzazione della cittadinanza;
</t>
    </r>
    <r>
      <rPr>
        <b/>
        <sz val="10"/>
        <rFont val="Calibri"/>
        <family val="2"/>
        <scheme val="minor"/>
      </rPr>
      <t>- Attività di equipe.</t>
    </r>
  </si>
  <si>
    <r>
      <t xml:space="preserve">Sensibilizzazione della comunità anche per contrastare eventuali conflitti sociali ("detensionamento sociale") 
</t>
    </r>
    <r>
      <rPr>
        <i/>
        <sz val="10"/>
        <color theme="1"/>
        <rFont val="Calibri"/>
        <family val="2"/>
        <scheme val="minor"/>
      </rPr>
      <t>(Popolazione in generale e popolazione territorio)</t>
    </r>
  </si>
  <si>
    <r>
      <rPr>
        <b/>
        <u/>
        <sz val="10"/>
        <color theme="1"/>
        <rFont val="Calibri"/>
        <family val="2"/>
        <scheme val="minor"/>
      </rPr>
      <t>Per l’«osservazione»:</t>
    </r>
    <r>
      <rPr>
        <sz val="10"/>
        <color theme="1"/>
        <rFont val="Calibri"/>
        <family val="2"/>
        <scheme val="minor"/>
      </rPr>
      <t xml:space="preserve">
- Osservazione e presenza degli operatori nei luoghi segnalati (ad es. per abuso di sostanze e spaccio e grave marginalità, etc.);
- Attività di ricerca e contatto con la popolazione target;
- Raccolta delle segnalazioni dal territorio (sia da parte dei servizi che da parte della popolazione);
- Sistematizzazione dati;
</t>
    </r>
    <r>
      <rPr>
        <b/>
        <sz val="10"/>
        <color theme="1"/>
        <rFont val="Calibri"/>
        <family val="2"/>
        <scheme val="minor"/>
      </rPr>
      <t>- Attività di equipe.</t>
    </r>
  </si>
  <si>
    <r>
      <rPr>
        <b/>
        <sz val="10"/>
        <color theme="1"/>
        <rFont val="Calibri"/>
        <family val="2"/>
        <scheme val="minor"/>
      </rPr>
      <t>Accompagnamento ai servizi e verifica dei processi di inclusione</t>
    </r>
    <r>
      <rPr>
        <sz val="10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(Individuale)</t>
    </r>
  </si>
  <si>
    <r>
      <rPr>
        <b/>
        <u/>
        <sz val="10"/>
        <color theme="1"/>
        <rFont val="Calibri"/>
        <family val="2"/>
        <scheme val="minor"/>
      </rPr>
      <t>Per l’«aggancio precoce»:</t>
    </r>
    <r>
      <rPr>
        <sz val="10"/>
        <color theme="1"/>
        <rFont val="Calibri"/>
        <family val="2"/>
        <scheme val="minor"/>
      </rPr>
      <t xml:space="preserve">
- Presentazione del servizio e informazioni;
- Prima conoscenza dei destinatari;
- Informazioni sulle sostanze;
- Informazioni sui comportamenti a rischio;
- </t>
    </r>
    <r>
      <rPr>
        <sz val="10"/>
        <rFont val="Calibri"/>
        <family val="2"/>
        <scheme val="minor"/>
      </rPr>
      <t xml:space="preserve">Distribuzione generi di prima necessità e di conforto;
- Rilevazione attività e registrazione dati;
</t>
    </r>
    <r>
      <rPr>
        <sz val="10"/>
        <color rgb="FF00B050"/>
        <rFont val="Calibri"/>
        <family val="2"/>
        <scheme val="minor"/>
      </rPr>
      <t xml:space="preserve">- Messa a disposizione di materiale sanitario (ad es. preservativi, acqua distillata, etc.);
- Messa a disposizione e  raccolta siringhe;
</t>
    </r>
    <r>
      <rPr>
        <b/>
        <sz val="10"/>
        <rFont val="Calibri"/>
        <family val="2"/>
        <scheme val="minor"/>
      </rPr>
      <t>- Attività di equipe.</t>
    </r>
  </si>
  <si>
    <t>PESO % DELLE FIGURE PROFESSIONALI</t>
  </si>
  <si>
    <r>
      <t xml:space="preserve">ORE PER FIGURA PROFESSIONALE
</t>
    </r>
    <r>
      <rPr>
        <b/>
        <i/>
        <sz val="10"/>
        <color rgb="FF000000"/>
        <rFont val="Calibri"/>
        <family val="2"/>
      </rPr>
      <t>(Inclusa attività di equipe)</t>
    </r>
  </si>
  <si>
    <r>
      <t xml:space="preserve">COSTO PER FIGURA PROFESSIONALE
</t>
    </r>
    <r>
      <rPr>
        <b/>
        <i/>
        <sz val="10"/>
        <color rgb="FF000000"/>
        <rFont val="Calibri"/>
        <family val="2"/>
      </rPr>
      <t>(Inclusa attività di equipe)</t>
    </r>
  </si>
  <si>
    <r>
      <t xml:space="preserve">ORE PER TIPOLOGIA DI INTERVENTO
</t>
    </r>
    <r>
      <rPr>
        <b/>
        <i/>
        <sz val="10"/>
        <color rgb="FF000000"/>
        <rFont val="Calibri"/>
        <family val="2"/>
      </rPr>
      <t>(Inclusa attività di equipe)</t>
    </r>
  </si>
  <si>
    <t>media "pesata"</t>
  </si>
  <si>
    <t>DROP-IN + UM/US</t>
  </si>
  <si>
    <t>UM/US</t>
  </si>
  <si>
    <t>DROP-IN</t>
  </si>
  <si>
    <t>Totale ore</t>
  </si>
  <si>
    <t>Totale costo del personale</t>
  </si>
  <si>
    <t>Totale costo del servizio</t>
  </si>
  <si>
    <t>Altri costi</t>
  </si>
  <si>
    <t>Costo del personale figure sanitarie (Psicologo 50%)</t>
  </si>
  <si>
    <t>Incidenza % sul costo del personale</t>
  </si>
  <si>
    <r>
      <t>IPOTESI MONTE ORE TEORICO COMPLESSIVO</t>
    </r>
    <r>
      <rPr>
        <b/>
        <i/>
        <sz val="10"/>
        <color rgb="FF000000"/>
        <rFont val="Calibri"/>
        <family val="2"/>
      </rPr>
      <t xml:space="preserve">
(Inclusa equipe, Coordinatore, Amministrativo e Mediatore)</t>
    </r>
  </si>
  <si>
    <t>COSTI SOCIALI</t>
  </si>
  <si>
    <t>COSTI SANITARI</t>
  </si>
  <si>
    <t>Costi sociali</t>
  </si>
  <si>
    <t>Costi sanitari</t>
  </si>
  <si>
    <t>Costi complessivi</t>
  </si>
  <si>
    <t>Costi diretti personale</t>
  </si>
  <si>
    <t>Costi indiretti</t>
  </si>
  <si>
    <t>Costi totali</t>
  </si>
  <si>
    <t>AREA 3</t>
  </si>
  <si>
    <t>18 MESI</t>
  </si>
  <si>
    <t>12 MESI</t>
  </si>
  <si>
    <t>Altri costi (40% del costo di personale)</t>
  </si>
  <si>
    <t xml:space="preserve">di cui </t>
  </si>
  <si>
    <t xml:space="preserve">Ipotesi 40% altri costi </t>
  </si>
  <si>
    <t>Macrotipologia A. Sensibilizzazione</t>
  </si>
  <si>
    <t>Macrotipologia B. Aggancio precoce, pronto intervento e prima presa in carico</t>
  </si>
  <si>
    <t>Macrotipologia C. Accoglienza e segretariato sociale</t>
  </si>
  <si>
    <t>Macrotipologia D. Inclusione sociale e accompagnamento ai servizi7</t>
  </si>
  <si>
    <t>QUADRO DELLE PRESTAZIONI EROGABILI NELL’AMBITO DEL PERCORSO DI CONTRASTO AL DISAGIO SOCIALE, ATTRAVERSO INTERVENTI DI AGGANCIO, RIDUZIONE DEL DANNO E INCLUSIONE - Allegato 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</si>
</sst>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&quot;€&quot;\ #,##0.00"/>
    <numFmt numFmtId="165" formatCode="0.0%"/>
    <numFmt numFmtId="166" formatCode="#,##0.0"/>
    <numFmt numFmtId="167" formatCode="0.0"/>
    <numFmt numFmtId="168" formatCode="_-&quot;€&quot;\ * #,##0.00_-;\-&quot;€&quot;\ * #,##0.00_-;_-&quot;€&quot;\ * &quot;-&quot;??_-;_-@_-"/>
    <numFmt numFmtId="169" formatCode="#,##0.00\ &quot;€&quot;"/>
    <numFmt numFmtId="170" formatCode="&quot;€&quot;\ #,##0.000"/>
    <numFmt numFmtId="171" formatCode="#,##0.000"/>
    <numFmt numFmtId="172" formatCode="&quot;€&quot;\ #,##0"/>
  </numFmts>
  <fonts count="2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b/>
      <u/>
      <sz val="10"/>
      <color rgb="FF000000"/>
      <name val="Calibri"/>
      <family val="2"/>
    </font>
    <font>
      <sz val="10"/>
      <color rgb="FF000000"/>
      <name val="Calibri"/>
      <family val="2"/>
    </font>
    <font>
      <b/>
      <u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rgb="FFD9D9D9"/>
        <bgColor rgb="FFDDDDDD"/>
      </patternFill>
    </fill>
    <fill>
      <patternFill patternType="solid">
        <fgColor theme="4" tint="0.79998168889431442"/>
        <bgColor rgb="FFDDDDDD"/>
      </patternFill>
    </fill>
    <fill>
      <patternFill patternType="solid">
        <fgColor theme="4" tint="0.79998168889431442"/>
        <bgColor rgb="FFDEEBF7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rgb="FFFFFFCC"/>
      </patternFill>
    </fill>
    <fill>
      <patternFill patternType="solid">
        <fgColor rgb="FFF7FED6"/>
        <bgColor indexed="64"/>
      </patternFill>
    </fill>
    <fill>
      <patternFill patternType="solid">
        <fgColor theme="5" tint="0.79998168889431442"/>
        <bgColor rgb="FFFFFF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rgb="FFDEEBF7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 style="thin">
        <color rgb="FF808080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5">
    <xf numFmtId="0" fontId="0" fillId="0" borderId="0"/>
    <xf numFmtId="9" fontId="11" fillId="0" borderId="0" applyFont="0" applyFill="0" applyBorder="0" applyAlignment="0" applyProtection="0"/>
    <xf numFmtId="0" fontId="17" fillId="0" borderId="0"/>
    <xf numFmtId="44" fontId="11" fillId="0" borderId="0" applyFont="0" applyFill="0" applyBorder="0" applyAlignment="0" applyProtection="0"/>
    <xf numFmtId="168" fontId="1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wrapText="1"/>
    </xf>
    <xf numFmtId="9" fontId="1" fillId="0" borderId="0" xfId="0" applyNumberFormat="1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9" fontId="2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9" fontId="2" fillId="0" borderId="2" xfId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9" fontId="13" fillId="0" borderId="2" xfId="1" applyFont="1" applyBorder="1" applyAlignment="1">
      <alignment horizontal="left" vertical="center" wrapText="1"/>
    </xf>
    <xf numFmtId="9" fontId="4" fillId="0" borderId="2" xfId="1" applyFont="1" applyBorder="1" applyAlignment="1">
      <alignment horizontal="left" vertical="center"/>
    </xf>
    <xf numFmtId="9" fontId="4" fillId="0" borderId="2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10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9" fillId="7" borderId="4" xfId="0" applyFont="1" applyFill="1" applyBorder="1" applyAlignment="1">
      <alignment horizontal="center" vertical="center"/>
    </xf>
    <xf numFmtId="0" fontId="5" fillId="0" borderId="4" xfId="0" quotePrefix="1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top" wrapText="1"/>
    </xf>
    <xf numFmtId="9" fontId="9" fillId="0" borderId="4" xfId="0" applyNumberFormat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center" wrapText="1"/>
    </xf>
    <xf numFmtId="9" fontId="3" fillId="0" borderId="4" xfId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2" fillId="0" borderId="0" xfId="0" applyNumberFormat="1" applyFont="1" applyAlignment="1">
      <alignment horizontal="left" vertical="top" wrapText="1"/>
    </xf>
    <xf numFmtId="4" fontId="19" fillId="7" borderId="4" xfId="0" applyNumberFormat="1" applyFont="1" applyFill="1" applyBorder="1" applyAlignment="1">
      <alignment horizontal="center" vertical="center"/>
    </xf>
    <xf numFmtId="9" fontId="9" fillId="0" borderId="12" xfId="0" applyNumberFormat="1" applyFont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21" fillId="0" borderId="0" xfId="2" applyFont="1"/>
    <xf numFmtId="0" fontId="1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top" wrapText="1"/>
    </xf>
    <xf numFmtId="164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2" fillId="14" borderId="4" xfId="0" quotePrefix="1" applyFont="1" applyFill="1" applyBorder="1" applyAlignment="1">
      <alignment horizontal="left" vertical="center" wrapText="1"/>
    </xf>
    <xf numFmtId="0" fontId="2" fillId="14" borderId="4" xfId="0" applyFont="1" applyFill="1" applyBorder="1" applyAlignment="1">
      <alignment horizontal="left" vertical="center" wrapText="1"/>
    </xf>
    <xf numFmtId="9" fontId="2" fillId="16" borderId="4" xfId="0" applyNumberFormat="1" applyFont="1" applyFill="1" applyBorder="1" applyAlignment="1">
      <alignment horizontal="left" vertical="center" wrapText="1"/>
    </xf>
    <xf numFmtId="0" fontId="9" fillId="14" borderId="4" xfId="0" applyFont="1" applyFill="1" applyBorder="1" applyAlignment="1">
      <alignment horizontal="left" vertical="center" wrapText="1"/>
    </xf>
    <xf numFmtId="0" fontId="2" fillId="16" borderId="4" xfId="0" applyFont="1" applyFill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2" fillId="18" borderId="2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9" fontId="7" fillId="0" borderId="0" xfId="0" applyNumberFormat="1" applyFont="1" applyAlignment="1">
      <alignment horizontal="center" vertical="center" wrapText="1"/>
    </xf>
    <xf numFmtId="44" fontId="0" fillId="0" borderId="2" xfId="3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10" fontId="0" fillId="0" borderId="0" xfId="1" applyNumberFormat="1" applyFont="1"/>
    <xf numFmtId="0" fontId="8" fillId="0" borderId="0" xfId="0" applyFont="1"/>
    <xf numFmtId="165" fontId="10" fillId="0" borderId="4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9" fontId="9" fillId="0" borderId="23" xfId="0" applyNumberFormat="1" applyFont="1" applyBorder="1" applyAlignment="1">
      <alignment vertical="center" wrapText="1"/>
    </xf>
    <xf numFmtId="9" fontId="9" fillId="0" borderId="1" xfId="0" applyNumberFormat="1" applyFont="1" applyBorder="1" applyAlignment="1">
      <alignment vertical="center" wrapText="1"/>
    </xf>
    <xf numFmtId="167" fontId="3" fillId="0" borderId="0" xfId="0" applyNumberFormat="1" applyFont="1" applyAlignment="1">
      <alignment horizontal="center" vertical="center" wrapText="1"/>
    </xf>
    <xf numFmtId="0" fontId="19" fillId="7" borderId="22" xfId="0" applyFont="1" applyFill="1" applyBorder="1" applyAlignment="1">
      <alignment horizontal="center" vertical="center"/>
    </xf>
    <xf numFmtId="164" fontId="19" fillId="7" borderId="22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9" fillId="10" borderId="13" xfId="0" applyFont="1" applyFill="1" applyBorder="1" applyAlignment="1">
      <alignment horizontal="center" vertical="center"/>
    </xf>
    <xf numFmtId="0" fontId="19" fillId="11" borderId="24" xfId="0" applyFont="1" applyFill="1" applyBorder="1" applyAlignment="1">
      <alignment horizontal="center" vertical="center"/>
    </xf>
    <xf numFmtId="170" fontId="3" fillId="0" borderId="0" xfId="0" applyNumberFormat="1" applyFont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/>
    </xf>
    <xf numFmtId="0" fontId="1" fillId="14" borderId="11" xfId="0" applyFont="1" applyFill="1" applyBorder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8" fillId="19" borderId="0" xfId="0" applyFont="1" applyFill="1" applyAlignment="1">
      <alignment horizontal="center" vertical="center"/>
    </xf>
    <xf numFmtId="4" fontId="19" fillId="19" borderId="5" xfId="0" applyNumberFormat="1" applyFont="1" applyFill="1" applyBorder="1" applyAlignment="1">
      <alignment horizontal="center" vertical="center"/>
    </xf>
    <xf numFmtId="0" fontId="19" fillId="19" borderId="5" xfId="0" applyFont="1" applyFill="1" applyBorder="1" applyAlignment="1">
      <alignment horizontal="center" vertical="center"/>
    </xf>
    <xf numFmtId="0" fontId="19" fillId="19" borderId="25" xfId="0" applyFont="1" applyFill="1" applyBorder="1" applyAlignment="1">
      <alignment horizontal="center" vertical="center"/>
    </xf>
    <xf numFmtId="0" fontId="19" fillId="19" borderId="11" xfId="0" applyFont="1" applyFill="1" applyBorder="1" applyAlignment="1">
      <alignment horizontal="center" vertical="center"/>
    </xf>
    <xf numFmtId="171" fontId="1" fillId="14" borderId="0" xfId="0" applyNumberFormat="1" applyFont="1" applyFill="1" applyAlignment="1">
      <alignment horizontal="center" vertical="center" wrapText="1"/>
    </xf>
    <xf numFmtId="171" fontId="1" fillId="14" borderId="0" xfId="0" applyNumberFormat="1" applyFont="1" applyFill="1" applyAlignment="1">
      <alignment horizontal="center" vertical="center"/>
    </xf>
    <xf numFmtId="166" fontId="1" fillId="14" borderId="0" xfId="0" applyNumberFormat="1" applyFont="1" applyFill="1" applyAlignment="1">
      <alignment horizontal="center" vertical="center"/>
    </xf>
    <xf numFmtId="0" fontId="1" fillId="14" borderId="4" xfId="0" applyFont="1" applyFill="1" applyBorder="1" applyAlignment="1">
      <alignment horizontal="left" vertical="center"/>
    </xf>
    <xf numFmtId="0" fontId="19" fillId="19" borderId="22" xfId="0" applyFont="1" applyFill="1" applyBorder="1" applyAlignment="1">
      <alignment horizontal="center" vertical="center"/>
    </xf>
    <xf numFmtId="164" fontId="19" fillId="19" borderId="22" xfId="0" applyNumberFormat="1" applyFont="1" applyFill="1" applyBorder="1" applyAlignment="1">
      <alignment horizontal="center" vertical="center"/>
    </xf>
    <xf numFmtId="171" fontId="1" fillId="0" borderId="0" xfId="0" applyNumberFormat="1" applyFont="1" applyAlignment="1">
      <alignment horizontal="center" vertical="center" wrapText="1"/>
    </xf>
    <xf numFmtId="171" fontId="1" fillId="0" borderId="0" xfId="0" applyNumberFormat="1" applyFont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19" fillId="19" borderId="25" xfId="0" applyNumberFormat="1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19" fillId="19" borderId="11" xfId="0" applyNumberFormat="1" applyFont="1" applyFill="1" applyBorder="1" applyAlignment="1">
      <alignment horizontal="center" vertical="center"/>
    </xf>
    <xf numFmtId="4" fontId="19" fillId="19" borderId="4" xfId="0" applyNumberFormat="1" applyFon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/>
    </xf>
    <xf numFmtId="2" fontId="18" fillId="19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164" fontId="1" fillId="14" borderId="11" xfId="0" applyNumberFormat="1" applyFont="1" applyFill="1" applyBorder="1" applyAlignment="1">
      <alignment horizontal="center" vertical="center"/>
    </xf>
    <xf numFmtId="10" fontId="24" fillId="20" borderId="0" xfId="0" applyNumberFormat="1" applyFont="1" applyFill="1" applyAlignment="1">
      <alignment horizontal="center" vertical="center" wrapText="1"/>
    </xf>
    <xf numFmtId="0" fontId="24" fillId="20" borderId="0" xfId="0" applyFont="1" applyFill="1" applyAlignment="1">
      <alignment horizontal="center" vertical="center" wrapText="1"/>
    </xf>
    <xf numFmtId="166" fontId="24" fillId="20" borderId="0" xfId="0" applyNumberFormat="1" applyFont="1" applyFill="1" applyAlignment="1">
      <alignment horizontal="center" vertical="center" wrapText="1"/>
    </xf>
    <xf numFmtId="0" fontId="25" fillId="20" borderId="0" xfId="0" applyFont="1" applyFill="1" applyAlignment="1">
      <alignment horizontal="center" vertical="center" wrapText="1"/>
    </xf>
    <xf numFmtId="164" fontId="26" fillId="20" borderId="0" xfId="0" applyNumberFormat="1" applyFont="1" applyFill="1" applyAlignment="1">
      <alignment horizontal="center" vertical="center" wrapText="1"/>
    </xf>
    <xf numFmtId="166" fontId="26" fillId="20" borderId="0" xfId="0" applyNumberFormat="1" applyFont="1" applyFill="1" applyAlignment="1">
      <alignment horizontal="center" vertical="center"/>
    </xf>
    <xf numFmtId="166" fontId="27" fillId="20" borderId="0" xfId="0" applyNumberFormat="1" applyFont="1" applyFill="1" applyAlignment="1">
      <alignment horizontal="center" vertical="center" wrapText="1"/>
    </xf>
    <xf numFmtId="0" fontId="27" fillId="20" borderId="0" xfId="0" applyFont="1" applyFill="1" applyAlignment="1">
      <alignment horizontal="left" vertical="top" wrapText="1"/>
    </xf>
    <xf numFmtId="0" fontId="27" fillId="20" borderId="0" xfId="0" applyFont="1" applyFill="1" applyAlignment="1">
      <alignment horizontal="center" vertical="top" wrapText="1"/>
    </xf>
    <xf numFmtId="164" fontId="27" fillId="20" borderId="0" xfId="0" applyNumberFormat="1" applyFont="1" applyFill="1" applyAlignment="1">
      <alignment horizontal="center" vertical="center" wrapText="1"/>
    </xf>
    <xf numFmtId="4" fontId="27" fillId="20" borderId="0" xfId="0" applyNumberFormat="1" applyFont="1" applyFill="1" applyAlignment="1">
      <alignment horizontal="left" vertical="top" wrapText="1"/>
    </xf>
    <xf numFmtId="0" fontId="26" fillId="20" borderId="0" xfId="0" applyFont="1" applyFill="1" applyAlignment="1">
      <alignment horizontal="left" vertical="top" wrapText="1"/>
    </xf>
    <xf numFmtId="10" fontId="27" fillId="20" borderId="0" xfId="1" applyNumberFormat="1" applyFont="1" applyFill="1" applyBorder="1" applyAlignment="1">
      <alignment horizontal="center" vertical="center" wrapText="1"/>
    </xf>
    <xf numFmtId="4" fontId="27" fillId="20" borderId="0" xfId="0" applyNumberFormat="1" applyFont="1" applyFill="1" applyAlignment="1">
      <alignment horizontal="center" vertical="center" wrapText="1"/>
    </xf>
    <xf numFmtId="0" fontId="23" fillId="20" borderId="0" xfId="0" applyFont="1" applyFill="1"/>
    <xf numFmtId="0" fontId="25" fillId="20" borderId="0" xfId="2" applyFont="1" applyFill="1" applyAlignment="1">
      <alignment horizontal="center" vertical="center" wrapText="1"/>
    </xf>
    <xf numFmtId="0" fontId="25" fillId="20" borderId="0" xfId="2" applyFont="1" applyFill="1" applyAlignment="1">
      <alignment horizontal="center"/>
    </xf>
    <xf numFmtId="0" fontId="28" fillId="20" borderId="0" xfId="2" applyFont="1" applyFill="1"/>
    <xf numFmtId="0" fontId="25" fillId="20" borderId="0" xfId="2" applyFont="1" applyFill="1" applyAlignment="1">
      <alignment horizontal="center" vertical="center"/>
    </xf>
    <xf numFmtId="0" fontId="27" fillId="20" borderId="0" xfId="2" applyFont="1" applyFill="1"/>
    <xf numFmtId="172" fontId="27" fillId="20" borderId="0" xfId="0" applyNumberFormat="1" applyFont="1" applyFill="1" applyAlignment="1">
      <alignment horizontal="center"/>
    </xf>
    <xf numFmtId="164" fontId="27" fillId="20" borderId="0" xfId="0" applyNumberFormat="1" applyFont="1" applyFill="1" applyAlignment="1">
      <alignment horizontal="center"/>
    </xf>
    <xf numFmtId="164" fontId="28" fillId="20" borderId="0" xfId="2" applyNumberFormat="1" applyFont="1" applyFill="1" applyAlignment="1">
      <alignment horizontal="center"/>
    </xf>
    <xf numFmtId="164" fontId="28" fillId="20" borderId="0" xfId="0" applyNumberFormat="1" applyFont="1" applyFill="1" applyAlignment="1">
      <alignment horizontal="center"/>
    </xf>
    <xf numFmtId="164" fontId="27" fillId="20" borderId="0" xfId="2" applyNumberFormat="1" applyFont="1" applyFill="1" applyAlignment="1">
      <alignment horizontal="center"/>
    </xf>
    <xf numFmtId="164" fontId="25" fillId="20" borderId="0" xfId="2" applyNumberFormat="1" applyFont="1" applyFill="1" applyAlignment="1">
      <alignment horizontal="center"/>
    </xf>
    <xf numFmtId="164" fontId="27" fillId="20" borderId="0" xfId="0" applyNumberFormat="1" applyFont="1" applyFill="1" applyAlignment="1">
      <alignment horizontal="left" vertical="center" wrapText="1"/>
    </xf>
    <xf numFmtId="0" fontId="27" fillId="20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9" fillId="15" borderId="22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9" fillId="0" borderId="4" xfId="0" quotePrefix="1" applyFont="1" applyBorder="1" applyAlignment="1">
      <alignment horizontal="left" vertical="top" wrapText="1"/>
    </xf>
    <xf numFmtId="165" fontId="1" fillId="0" borderId="4" xfId="1" applyNumberFormat="1" applyFont="1" applyFill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165" fontId="10" fillId="0" borderId="4" xfId="1" applyNumberFormat="1" applyFont="1" applyFill="1" applyBorder="1" applyAlignment="1">
      <alignment horizontal="center" vertical="center" wrapText="1"/>
    </xf>
    <xf numFmtId="2" fontId="10" fillId="0" borderId="4" xfId="1" applyNumberFormat="1" applyFont="1" applyFill="1" applyBorder="1" applyAlignment="1">
      <alignment horizontal="center" vertical="center" wrapText="1"/>
    </xf>
    <xf numFmtId="9" fontId="9" fillId="0" borderId="12" xfId="1" applyFont="1" applyFill="1" applyBorder="1" applyAlignment="1">
      <alignment horizontal="center" vertical="center" wrapText="1"/>
    </xf>
    <xf numFmtId="9" fontId="9" fillId="0" borderId="12" xfId="1" applyFont="1" applyBorder="1" applyAlignment="1">
      <alignment horizontal="center" vertical="center" wrapText="1"/>
    </xf>
    <xf numFmtId="2" fontId="10" fillId="0" borderId="4" xfId="0" quotePrefix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9" fontId="9" fillId="0" borderId="4" xfId="1" applyFont="1" applyBorder="1" applyAlignment="1">
      <alignment horizontal="center" vertical="center" wrapText="1"/>
    </xf>
    <xf numFmtId="164" fontId="10" fillId="0" borderId="11" xfId="0" quotePrefix="1" applyNumberFormat="1" applyFont="1" applyBorder="1" applyAlignment="1">
      <alignment horizontal="center" vertical="center" wrapText="1"/>
    </xf>
    <xf numFmtId="9" fontId="9" fillId="0" borderId="12" xfId="0" quotePrefix="1" applyNumberFormat="1" applyFont="1" applyBorder="1" applyAlignment="1">
      <alignment horizontal="center" vertical="center" wrapText="1"/>
    </xf>
    <xf numFmtId="9" fontId="9" fillId="0" borderId="9" xfId="1" applyFont="1" applyBorder="1" applyAlignment="1">
      <alignment horizontal="center" vertical="center" wrapText="1"/>
    </xf>
    <xf numFmtId="9" fontId="9" fillId="0" borderId="10" xfId="1" applyFont="1" applyBorder="1" applyAlignment="1">
      <alignment horizontal="center" vertical="center" wrapText="1"/>
    </xf>
    <xf numFmtId="9" fontId="9" fillId="0" borderId="4" xfId="0" quotePrefix="1" applyNumberFormat="1" applyFont="1" applyBorder="1" applyAlignment="1">
      <alignment horizontal="center" vertical="center" wrapText="1"/>
    </xf>
    <xf numFmtId="0" fontId="19" fillId="15" borderId="22" xfId="0" applyFont="1" applyFill="1" applyBorder="1" applyAlignment="1">
      <alignment horizontal="center" vertical="center" wrapText="1"/>
    </xf>
    <xf numFmtId="0" fontId="19" fillId="8" borderId="16" xfId="0" applyFont="1" applyFill="1" applyBorder="1" applyAlignment="1">
      <alignment horizontal="center" vertical="center" wrapText="1"/>
    </xf>
    <xf numFmtId="0" fontId="19" fillId="8" borderId="17" xfId="0" applyFont="1" applyFill="1" applyBorder="1" applyAlignment="1">
      <alignment horizontal="center" vertical="center" wrapText="1"/>
    </xf>
    <xf numFmtId="0" fontId="19" fillId="8" borderId="21" xfId="0" applyFont="1" applyFill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4" xfId="1" quotePrefix="1" applyFont="1" applyBorder="1" applyAlignment="1">
      <alignment horizontal="center" vertical="center" wrapText="1"/>
    </xf>
    <xf numFmtId="0" fontId="16" fillId="0" borderId="4" xfId="0" quotePrefix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65" fontId="10" fillId="0" borderId="4" xfId="0" quotePrefix="1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/>
    </xf>
    <xf numFmtId="164" fontId="10" fillId="0" borderId="11" xfId="1" applyNumberFormat="1" applyFont="1" applyBorder="1" applyAlignment="1">
      <alignment horizontal="center" vertical="center" wrapText="1"/>
    </xf>
    <xf numFmtId="164" fontId="10" fillId="0" borderId="11" xfId="1" applyNumberFormat="1" applyFont="1" applyFill="1" applyBorder="1" applyAlignment="1">
      <alignment horizontal="center" vertical="center" wrapText="1"/>
    </xf>
    <xf numFmtId="165" fontId="9" fillId="0" borderId="4" xfId="1" applyNumberFormat="1" applyFont="1" applyBorder="1" applyAlignment="1">
      <alignment horizontal="center" vertical="center" wrapText="1"/>
    </xf>
    <xf numFmtId="9" fontId="9" fillId="0" borderId="4" xfId="1" applyFont="1" applyFill="1" applyBorder="1" applyAlignment="1">
      <alignment horizontal="center" vertical="center" wrapText="1"/>
    </xf>
    <xf numFmtId="165" fontId="9" fillId="0" borderId="4" xfId="0" quotePrefix="1" applyNumberFormat="1" applyFont="1" applyBorder="1" applyAlignment="1">
      <alignment horizontal="center" vertical="center" wrapText="1"/>
    </xf>
    <xf numFmtId="164" fontId="10" fillId="0" borderId="11" xfId="0" applyNumberFormat="1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9" fontId="9" fillId="0" borderId="4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0" fontId="19" fillId="17" borderId="22" xfId="0" applyFont="1" applyFill="1" applyBorder="1" applyAlignment="1">
      <alignment horizontal="center" vertical="center" wrapText="1"/>
    </xf>
    <xf numFmtId="0" fontId="19" fillId="13" borderId="22" xfId="0" applyFont="1" applyFill="1" applyBorder="1" applyAlignment="1">
      <alignment horizontal="center" vertical="center" wrapText="1"/>
    </xf>
    <xf numFmtId="0" fontId="19" fillId="9" borderId="2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 wrapText="1"/>
    </xf>
    <xf numFmtId="0" fontId="19" fillId="11" borderId="13" xfId="0" applyFont="1" applyFill="1" applyBorder="1" applyAlignment="1">
      <alignment horizontal="center" vertical="center" wrapText="1"/>
    </xf>
    <xf numFmtId="0" fontId="19" fillId="11" borderId="1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165" fontId="1" fillId="0" borderId="4" xfId="0" quotePrefix="1" applyNumberFormat="1" applyFont="1" applyBorder="1" applyAlignment="1">
      <alignment horizontal="center" vertical="center" wrapText="1"/>
    </xf>
    <xf numFmtId="4" fontId="19" fillId="8" borderId="4" xfId="0" applyNumberFormat="1" applyFont="1" applyFill="1" applyBorder="1" applyAlignment="1">
      <alignment horizontal="center" vertical="center" wrapText="1"/>
    </xf>
    <xf numFmtId="0" fontId="19" fillId="8" borderId="18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12" borderId="15" xfId="0" applyFont="1" applyFill="1" applyBorder="1" applyAlignment="1">
      <alignment horizontal="center" vertical="center" wrapText="1"/>
    </xf>
    <xf numFmtId="0" fontId="19" fillId="13" borderId="15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8" fillId="12" borderId="15" xfId="0" applyFont="1" applyFill="1" applyBorder="1" applyAlignment="1">
      <alignment horizontal="center" vertical="center"/>
    </xf>
    <xf numFmtId="9" fontId="9" fillId="0" borderId="12" xfId="0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2" fontId="10" fillId="0" borderId="5" xfId="1" applyNumberFormat="1" applyFont="1" applyBorder="1" applyAlignment="1">
      <alignment horizontal="center" vertical="center" wrapText="1"/>
    </xf>
    <xf numFmtId="0" fontId="25" fillId="20" borderId="0" xfId="2" applyFont="1" applyFill="1" applyAlignment="1">
      <alignment horizontal="center" vertical="center" wrapText="1"/>
    </xf>
    <xf numFmtId="0" fontId="25" fillId="20" borderId="0" xfId="2" applyFont="1" applyFill="1" applyAlignment="1">
      <alignment horizontal="center"/>
    </xf>
  </cellXfs>
  <cellStyles count="5">
    <cellStyle name="Currency 2" xfId="4" xr:uid="{6DF1A389-9053-431D-876C-3A4AD8D82906}"/>
    <cellStyle name="Normal 2" xfId="2" xr:uid="{00000000-0005-0000-0000-000001000000}"/>
    <cellStyle name="Normale" xfId="0" builtinId="0"/>
    <cellStyle name="Percentuale" xfId="1" builtinId="5"/>
    <cellStyle name="Valuta" xfId="3" builtinId="4"/>
  </cellStyles>
  <dxfs count="0"/>
  <tableStyles count="0" defaultTableStyle="TableStyleMedium2" defaultPivotStyle="PivotStyleLight16"/>
  <colors>
    <mruColors>
      <color rgb="FFF7FE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D15"/>
  <sheetViews>
    <sheetView showGridLines="0" zoomScaleNormal="100" workbookViewId="0">
      <selection activeCell="B18" sqref="B18"/>
    </sheetView>
  </sheetViews>
  <sheetFormatPr defaultRowHeight="14.5" x14ac:dyDescent="0.35"/>
  <cols>
    <col min="1" max="1" width="5.1796875" customWidth="1"/>
    <col min="2" max="2" width="45.54296875" customWidth="1"/>
    <col min="3" max="3" width="16" customWidth="1"/>
    <col min="4" max="4" width="39.54296875" bestFit="1" customWidth="1"/>
  </cols>
  <sheetData>
    <row r="2" spans="1:4" x14ac:dyDescent="0.35">
      <c r="A2" s="139" t="s">
        <v>56</v>
      </c>
      <c r="B2" s="139"/>
      <c r="C2" s="139"/>
      <c r="D2" s="139"/>
    </row>
    <row r="3" spans="1:4" x14ac:dyDescent="0.35">
      <c r="A3" s="6" t="s">
        <v>29</v>
      </c>
      <c r="B3" s="6" t="s">
        <v>0</v>
      </c>
      <c r="C3" s="6" t="s">
        <v>26</v>
      </c>
      <c r="D3" s="6" t="s">
        <v>27</v>
      </c>
    </row>
    <row r="4" spans="1:4" ht="26" x14ac:dyDescent="0.35">
      <c r="A4" s="11">
        <v>1</v>
      </c>
      <c r="B4" s="7" t="s">
        <v>42</v>
      </c>
      <c r="C4" s="8">
        <f>'Schema di intervento'!M10</f>
        <v>0.04</v>
      </c>
      <c r="D4" s="12"/>
    </row>
    <row r="5" spans="1:4" x14ac:dyDescent="0.35">
      <c r="A5" s="11">
        <v>2</v>
      </c>
      <c r="B5" s="7" t="s">
        <v>43</v>
      </c>
      <c r="C5" s="8">
        <f>'Schema di intervento'!M13+'Schema di intervento'!M14</f>
        <v>0.09</v>
      </c>
      <c r="D5" s="13"/>
    </row>
    <row r="6" spans="1:4" x14ac:dyDescent="0.35">
      <c r="A6" s="11">
        <v>3</v>
      </c>
      <c r="B6" s="9" t="s">
        <v>28</v>
      </c>
      <c r="C6" s="10">
        <f>'Schema di intervento'!M15+'Schema di intervento'!M18</f>
        <v>0.24</v>
      </c>
      <c r="D6" s="14"/>
    </row>
    <row r="7" spans="1:4" ht="26" x14ac:dyDescent="0.35">
      <c r="A7" s="11">
        <v>4</v>
      </c>
      <c r="B7" s="9" t="s">
        <v>44</v>
      </c>
      <c r="C7" s="10">
        <f>'Schema di intervento'!M22+'Schema di intervento'!M24</f>
        <v>0.13</v>
      </c>
      <c r="D7" s="14"/>
    </row>
    <row r="8" spans="1:4" x14ac:dyDescent="0.35">
      <c r="A8" s="11">
        <v>5</v>
      </c>
      <c r="B8" s="9" t="s">
        <v>45</v>
      </c>
      <c r="C8" s="10">
        <f>'Schema di intervento'!M27</f>
        <v>0.05</v>
      </c>
      <c r="D8" s="14"/>
    </row>
    <row r="9" spans="1:4" x14ac:dyDescent="0.35">
      <c r="A9" s="11">
        <v>6</v>
      </c>
      <c r="B9" s="9" t="s">
        <v>46</v>
      </c>
      <c r="C9" s="10">
        <f>'Schema di intervento'!M30</f>
        <v>0.27</v>
      </c>
      <c r="D9" s="14"/>
    </row>
    <row r="10" spans="1:4" x14ac:dyDescent="0.35">
      <c r="A10" s="11">
        <v>7</v>
      </c>
      <c r="B10" s="9" t="s">
        <v>47</v>
      </c>
      <c r="C10" s="8">
        <f>'Schema di intervento'!M35</f>
        <v>0.13</v>
      </c>
      <c r="D10" s="13"/>
    </row>
    <row r="11" spans="1:4" x14ac:dyDescent="0.35">
      <c r="A11" s="11">
        <v>8</v>
      </c>
      <c r="B11" s="9" t="s">
        <v>48</v>
      </c>
      <c r="C11" s="8">
        <f>'Schema di intervento'!M38+'Schema di intervento'!M40+'Schema di intervento'!M42</f>
        <v>0.05</v>
      </c>
      <c r="D11" s="13"/>
    </row>
    <row r="12" spans="1:4" x14ac:dyDescent="0.35">
      <c r="C12" s="4">
        <f>SUM(C4:C11)</f>
        <v>1</v>
      </c>
      <c r="D12" s="3"/>
    </row>
    <row r="15" spans="1:4" x14ac:dyDescent="0.35">
      <c r="B15" s="18"/>
    </row>
  </sheetData>
  <mergeCells count="1">
    <mergeCell ref="A2:D2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55"/>
  <sheetViews>
    <sheetView showGridLines="0" tabSelected="1" zoomScale="70" zoomScaleNormal="70" zoomScaleSheetLayoutView="70"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G10" sqref="G10:G11"/>
    </sheetView>
  </sheetViews>
  <sheetFormatPr defaultColWidth="9.1796875" defaultRowHeight="14.5" x14ac:dyDescent="0.35"/>
  <cols>
    <col min="1" max="1" width="3.1796875" style="2" bestFit="1" customWidth="1"/>
    <col min="2" max="2" width="28.81640625" style="1" customWidth="1"/>
    <col min="3" max="4" width="26.81640625" style="1" customWidth="1"/>
    <col min="5" max="5" width="56.81640625" style="1" customWidth="1"/>
    <col min="6" max="7" width="14.1796875" style="1" customWidth="1"/>
    <col min="8" max="8" width="16.54296875" style="1" customWidth="1"/>
    <col min="9" max="9" width="16.54296875" style="1" bestFit="1" customWidth="1"/>
    <col min="10" max="12" width="14.1796875" style="1" customWidth="1"/>
    <col min="13" max="13" width="14.1796875" style="5" customWidth="1"/>
    <col min="14" max="14" width="25.81640625" style="1" customWidth="1"/>
    <col min="15" max="15" width="13.81640625" style="20" customWidth="1"/>
    <col min="16" max="16" width="10.1796875" style="1" customWidth="1"/>
    <col min="17" max="17" width="18.54296875" style="32" customWidth="1"/>
    <col min="18" max="21" width="18.54296875" style="1" customWidth="1"/>
    <col min="22" max="22" width="16" style="1" customWidth="1"/>
    <col min="23" max="23" width="13.54296875" style="1" customWidth="1"/>
    <col min="24" max="24" width="16.81640625" style="41" customWidth="1"/>
    <col min="25" max="25" width="15.54296875" style="41" customWidth="1"/>
    <col min="26" max="27" width="20.1796875" style="1" customWidth="1"/>
    <col min="28" max="28" width="20.453125" style="1" bestFit="1" customWidth="1"/>
  </cols>
  <sheetData>
    <row r="1" spans="1:28" ht="15.65" customHeight="1" x14ac:dyDescent="0.35">
      <c r="A1" s="65" t="s">
        <v>146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Z1" s="40"/>
      <c r="AA1" s="39"/>
      <c r="AB1" s="38"/>
    </row>
    <row r="2" spans="1:28" ht="15" customHeight="1" x14ac:dyDescent="0.35">
      <c r="A2" s="177" t="s">
        <v>29</v>
      </c>
      <c r="B2" s="177" t="s">
        <v>0</v>
      </c>
      <c r="C2" s="177" t="s">
        <v>2</v>
      </c>
      <c r="D2" s="177" t="s">
        <v>4</v>
      </c>
      <c r="E2" s="177" t="s">
        <v>6</v>
      </c>
      <c r="F2" s="197" t="s">
        <v>30</v>
      </c>
      <c r="G2" s="197"/>
      <c r="H2" s="197"/>
      <c r="I2" s="197"/>
      <c r="J2" s="197"/>
      <c r="K2" s="197"/>
      <c r="L2" s="197"/>
      <c r="M2" s="196" t="s">
        <v>59</v>
      </c>
      <c r="N2" s="177" t="s">
        <v>10</v>
      </c>
      <c r="O2" s="196" t="s">
        <v>113</v>
      </c>
      <c r="P2" s="196"/>
      <c r="Q2" s="208" t="s">
        <v>114</v>
      </c>
      <c r="R2" s="166" t="s">
        <v>115</v>
      </c>
      <c r="S2" s="166" t="s">
        <v>128</v>
      </c>
      <c r="T2" s="166" t="s">
        <v>129</v>
      </c>
      <c r="U2" s="210" t="s">
        <v>116</v>
      </c>
      <c r="V2" s="165" t="s">
        <v>87</v>
      </c>
      <c r="W2" s="165" t="s">
        <v>88</v>
      </c>
      <c r="X2" s="140" t="s">
        <v>91</v>
      </c>
      <c r="Y2" s="140" t="s">
        <v>92</v>
      </c>
      <c r="Z2" s="192" t="s">
        <v>65</v>
      </c>
      <c r="AA2" s="193" t="s">
        <v>66</v>
      </c>
      <c r="AB2" s="191" t="s">
        <v>127</v>
      </c>
    </row>
    <row r="3" spans="1:28" ht="52.5" customHeight="1" x14ac:dyDescent="0.35">
      <c r="A3" s="177"/>
      <c r="B3" s="177"/>
      <c r="C3" s="177"/>
      <c r="D3" s="177"/>
      <c r="E3" s="177"/>
      <c r="F3" s="194" t="s">
        <v>21</v>
      </c>
      <c r="G3" s="195"/>
      <c r="H3" s="195"/>
      <c r="I3" s="195"/>
      <c r="J3" s="195"/>
      <c r="K3" s="203" t="s">
        <v>22</v>
      </c>
      <c r="L3" s="204"/>
      <c r="M3" s="196"/>
      <c r="N3" s="177"/>
      <c r="O3" s="196"/>
      <c r="P3" s="196"/>
      <c r="Q3" s="208"/>
      <c r="R3" s="167"/>
      <c r="S3" s="167"/>
      <c r="T3" s="167"/>
      <c r="U3" s="211"/>
      <c r="V3" s="165"/>
      <c r="W3" s="165"/>
      <c r="X3" s="140"/>
      <c r="Y3" s="140"/>
      <c r="Z3" s="192"/>
      <c r="AA3" s="193"/>
      <c r="AB3" s="191"/>
    </row>
    <row r="4" spans="1:28" ht="68.25" customHeight="1" x14ac:dyDescent="0.35">
      <c r="A4" s="177"/>
      <c r="B4" s="177"/>
      <c r="C4" s="177"/>
      <c r="D4" s="177"/>
      <c r="E4" s="177"/>
      <c r="F4" s="205" t="s">
        <v>60</v>
      </c>
      <c r="G4" s="205"/>
      <c r="H4" s="206"/>
      <c r="I4" s="75" t="s">
        <v>11</v>
      </c>
      <c r="J4" s="75" t="s">
        <v>12</v>
      </c>
      <c r="K4" s="212" t="s">
        <v>84</v>
      </c>
      <c r="L4" s="212"/>
      <c r="M4" s="196"/>
      <c r="N4" s="177"/>
      <c r="O4" s="196"/>
      <c r="P4" s="196"/>
      <c r="Q4" s="208"/>
      <c r="R4" s="167"/>
      <c r="S4" s="167"/>
      <c r="T4" s="167"/>
      <c r="U4" s="211"/>
      <c r="V4" s="165"/>
      <c r="W4" s="165"/>
      <c r="X4" s="140"/>
      <c r="Y4" s="140"/>
      <c r="Z4" s="192"/>
      <c r="AA4" s="193"/>
      <c r="AB4" s="191"/>
    </row>
    <row r="5" spans="1:28" ht="12.75" customHeight="1" x14ac:dyDescent="0.35">
      <c r="A5" s="177"/>
      <c r="B5" s="177"/>
      <c r="C5" s="177"/>
      <c r="D5" s="177"/>
      <c r="E5" s="177"/>
      <c r="F5" s="200" t="s">
        <v>64</v>
      </c>
      <c r="G5" s="200"/>
      <c r="H5" s="201"/>
      <c r="I5" s="74" t="s">
        <v>64</v>
      </c>
      <c r="J5" s="74" t="s">
        <v>64</v>
      </c>
      <c r="K5" s="213" t="s">
        <v>64</v>
      </c>
      <c r="L5" s="213"/>
      <c r="M5" s="196"/>
      <c r="N5" s="177"/>
      <c r="O5" s="196"/>
      <c r="P5" s="196"/>
      <c r="Q5" s="208"/>
      <c r="R5" s="167"/>
      <c r="S5" s="167"/>
      <c r="T5" s="167"/>
      <c r="U5" s="211"/>
      <c r="V5" s="165"/>
      <c r="W5" s="165"/>
      <c r="X5" s="140"/>
      <c r="Y5" s="140"/>
      <c r="Z5" s="192"/>
      <c r="AA5" s="193"/>
      <c r="AB5" s="191"/>
    </row>
    <row r="6" spans="1:28" ht="12.75" customHeight="1" x14ac:dyDescent="0.35">
      <c r="A6" s="177"/>
      <c r="B6" s="177"/>
      <c r="C6" s="177"/>
      <c r="D6" s="177"/>
      <c r="E6" s="177"/>
      <c r="F6" s="198">
        <f>300*2</f>
        <v>600</v>
      </c>
      <c r="G6" s="198"/>
      <c r="H6" s="199"/>
      <c r="I6" s="73">
        <f>150*2</f>
        <v>300</v>
      </c>
      <c r="J6" s="73">
        <f>100*2</f>
        <v>200</v>
      </c>
      <c r="K6" s="214">
        <f>150*2</f>
        <v>300</v>
      </c>
      <c r="L6" s="214"/>
      <c r="M6" s="196"/>
      <c r="N6" s="177"/>
      <c r="O6" s="196"/>
      <c r="P6" s="196"/>
      <c r="Q6" s="208"/>
      <c r="R6" s="167"/>
      <c r="S6" s="167"/>
      <c r="T6" s="167"/>
      <c r="U6" s="211"/>
      <c r="V6" s="165"/>
      <c r="W6" s="165"/>
      <c r="X6" s="140"/>
      <c r="Y6" s="140"/>
      <c r="Z6" s="192"/>
      <c r="AA6" s="193"/>
      <c r="AB6" s="191"/>
    </row>
    <row r="7" spans="1:28" x14ac:dyDescent="0.35">
      <c r="A7" s="177"/>
      <c r="B7" s="177"/>
      <c r="C7" s="177"/>
      <c r="D7" s="177"/>
      <c r="E7" s="177"/>
      <c r="F7" s="21" t="s">
        <v>26</v>
      </c>
      <c r="G7" s="21" t="s">
        <v>64</v>
      </c>
      <c r="H7" s="76" t="s">
        <v>85</v>
      </c>
      <c r="I7" s="21" t="s">
        <v>85</v>
      </c>
      <c r="J7" s="21" t="s">
        <v>85</v>
      </c>
      <c r="K7" s="77" t="s">
        <v>26</v>
      </c>
      <c r="L7" s="35" t="s">
        <v>64</v>
      </c>
      <c r="M7" s="196"/>
      <c r="N7" s="177"/>
      <c r="O7" s="196"/>
      <c r="P7" s="196"/>
      <c r="Q7" s="208"/>
      <c r="R7" s="209"/>
      <c r="S7" s="168"/>
      <c r="T7" s="168"/>
      <c r="U7" s="211"/>
      <c r="V7" s="165"/>
      <c r="W7" s="165"/>
      <c r="X7" s="140"/>
      <c r="Y7" s="140"/>
      <c r="Z7" s="192"/>
      <c r="AA7" s="193"/>
      <c r="AB7" s="191"/>
    </row>
    <row r="8" spans="1:28" ht="15" customHeight="1" x14ac:dyDescent="0.35">
      <c r="A8" s="22" t="s">
        <v>1</v>
      </c>
      <c r="B8" s="22" t="s">
        <v>3</v>
      </c>
      <c r="C8" s="22" t="s">
        <v>5</v>
      </c>
      <c r="D8" s="22" t="s">
        <v>7</v>
      </c>
      <c r="E8" s="22" t="s">
        <v>8</v>
      </c>
      <c r="F8" s="187" t="s">
        <v>9</v>
      </c>
      <c r="G8" s="187"/>
      <c r="H8" s="188"/>
      <c r="I8" s="22" t="s">
        <v>13</v>
      </c>
      <c r="J8" s="22" t="s">
        <v>14</v>
      </c>
      <c r="K8" s="215" t="s">
        <v>69</v>
      </c>
      <c r="L8" s="215"/>
      <c r="M8" s="22" t="s">
        <v>15</v>
      </c>
      <c r="N8" s="22" t="s">
        <v>16</v>
      </c>
      <c r="O8" s="22" t="s">
        <v>17</v>
      </c>
      <c r="P8" s="22" t="s">
        <v>18</v>
      </c>
      <c r="Q8" s="33" t="s">
        <v>19</v>
      </c>
      <c r="R8" s="23" t="s">
        <v>20</v>
      </c>
      <c r="S8" s="36"/>
      <c r="T8" s="36"/>
      <c r="U8" s="36" t="s">
        <v>70</v>
      </c>
      <c r="V8" s="71" t="s">
        <v>71</v>
      </c>
      <c r="W8" s="71" t="s">
        <v>86</v>
      </c>
      <c r="X8" s="72" t="s">
        <v>89</v>
      </c>
      <c r="Y8" s="72" t="s">
        <v>90</v>
      </c>
      <c r="Z8" s="105">
        <f>AA8-K6</f>
        <v>9174</v>
      </c>
      <c r="AA8" s="106">
        <f>4737*2</f>
        <v>9474</v>
      </c>
      <c r="AB8" s="106">
        <f>AA8+F6+I6+J6</f>
        <v>10574</v>
      </c>
    </row>
    <row r="9" spans="1:28" ht="15" customHeight="1" x14ac:dyDescent="0.35">
      <c r="A9" s="91" t="s">
        <v>142</v>
      </c>
      <c r="B9" s="80"/>
      <c r="C9" s="80"/>
      <c r="D9" s="80"/>
      <c r="E9" s="80"/>
      <c r="F9" s="80"/>
      <c r="G9" s="80"/>
      <c r="H9" s="81"/>
      <c r="I9" s="82"/>
      <c r="J9" s="82"/>
      <c r="K9" s="83"/>
      <c r="L9" s="83"/>
      <c r="M9" s="80"/>
      <c r="N9" s="80"/>
      <c r="O9" s="80"/>
      <c r="P9" s="80"/>
      <c r="Q9" s="84"/>
      <c r="R9" s="85"/>
      <c r="S9" s="86"/>
      <c r="T9" s="86"/>
      <c r="U9" s="87"/>
      <c r="V9" s="92"/>
      <c r="W9" s="92"/>
      <c r="X9" s="93"/>
      <c r="Y9" s="93"/>
      <c r="Z9" s="88"/>
      <c r="AA9" s="89"/>
      <c r="AB9" s="90"/>
    </row>
    <row r="10" spans="1:28" ht="154.5" customHeight="1" x14ac:dyDescent="0.35">
      <c r="A10" s="178">
        <v>1</v>
      </c>
      <c r="B10" s="146" t="s">
        <v>109</v>
      </c>
      <c r="C10" s="156" t="s">
        <v>98</v>
      </c>
      <c r="D10" s="156" t="s">
        <v>96</v>
      </c>
      <c r="E10" s="172" t="s">
        <v>108</v>
      </c>
      <c r="F10" s="189">
        <v>0.35</v>
      </c>
      <c r="G10" s="190">
        <f>F6*F10</f>
        <v>210</v>
      </c>
      <c r="H10" s="186">
        <f>G10*'Foglio 3'!E3</f>
        <v>5441.1</v>
      </c>
      <c r="I10" s="68"/>
      <c r="J10" s="68"/>
      <c r="K10" s="216">
        <v>0.1</v>
      </c>
      <c r="L10" s="190">
        <f>K6*K10</f>
        <v>30</v>
      </c>
      <c r="M10" s="202">
        <v>0.04</v>
      </c>
      <c r="N10" s="24" t="s">
        <v>61</v>
      </c>
      <c r="O10" s="26">
        <v>0.5</v>
      </c>
      <c r="P10" s="149">
        <f>O10+O11</f>
        <v>1</v>
      </c>
      <c r="Q10" s="96">
        <f>O10*U10</f>
        <v>198.48</v>
      </c>
      <c r="R10" s="96">
        <f>ROUND(Q10*'Foglio 3'!D10,2)</f>
        <v>4092.66</v>
      </c>
      <c r="S10" s="96">
        <f>R10</f>
        <v>4092.66</v>
      </c>
      <c r="T10" s="96"/>
      <c r="U10" s="142">
        <f>(M10*Z8)+L10</f>
        <v>396.96</v>
      </c>
      <c r="V10" s="141">
        <f>U10</f>
        <v>396.96</v>
      </c>
      <c r="W10" s="141">
        <f>U10</f>
        <v>396.96</v>
      </c>
      <c r="X10" s="141">
        <f>R10+R11</f>
        <v>8399.68</v>
      </c>
      <c r="Y10" s="141">
        <f>R10+R11</f>
        <v>8399.68</v>
      </c>
    </row>
    <row r="11" spans="1:28" ht="154.5" customHeight="1" x14ac:dyDescent="0.35">
      <c r="A11" s="178"/>
      <c r="B11" s="146"/>
      <c r="C11" s="157"/>
      <c r="D11" s="157"/>
      <c r="E11" s="173"/>
      <c r="F11" s="189"/>
      <c r="G11" s="190"/>
      <c r="H11" s="186"/>
      <c r="I11" s="68"/>
      <c r="J11" s="68"/>
      <c r="K11" s="216"/>
      <c r="L11" s="190"/>
      <c r="M11" s="202"/>
      <c r="N11" s="24" t="s">
        <v>31</v>
      </c>
      <c r="O11" s="26">
        <v>0.5</v>
      </c>
      <c r="P11" s="149"/>
      <c r="Q11" s="97">
        <f>O11*U10</f>
        <v>198.48</v>
      </c>
      <c r="R11" s="97">
        <f>ROUND(Q11*'Foglio 3'!D9,2)</f>
        <v>4307.0200000000004</v>
      </c>
      <c r="S11" s="97">
        <f>R11</f>
        <v>4307.0200000000004</v>
      </c>
      <c r="T11" s="97"/>
      <c r="U11" s="142"/>
      <c r="V11" s="142"/>
      <c r="W11" s="142"/>
      <c r="X11" s="142"/>
      <c r="Y11" s="142"/>
    </row>
    <row r="12" spans="1:28" ht="15" customHeight="1" x14ac:dyDescent="0.35">
      <c r="A12" s="91" t="s">
        <v>143</v>
      </c>
      <c r="B12" s="80"/>
      <c r="C12" s="80"/>
      <c r="D12" s="80"/>
      <c r="E12" s="80"/>
      <c r="F12" s="80"/>
      <c r="G12" s="80"/>
      <c r="H12" s="110"/>
      <c r="I12" s="82"/>
      <c r="J12" s="82"/>
      <c r="K12" s="83"/>
      <c r="L12" s="107"/>
      <c r="M12" s="80"/>
      <c r="N12" s="80"/>
      <c r="O12" s="80"/>
      <c r="P12" s="80"/>
      <c r="Q12" s="84"/>
      <c r="R12" s="84"/>
      <c r="S12" s="98"/>
      <c r="T12" s="98"/>
      <c r="U12" s="102"/>
      <c r="V12" s="103"/>
      <c r="W12" s="103"/>
      <c r="X12" s="103"/>
      <c r="Y12" s="103"/>
      <c r="Z12" s="94"/>
      <c r="AA12" s="95"/>
      <c r="AB12" s="52"/>
    </row>
    <row r="13" spans="1:28" ht="154.5" customHeight="1" x14ac:dyDescent="0.35">
      <c r="A13" s="174">
        <v>2</v>
      </c>
      <c r="B13" s="146" t="s">
        <v>33</v>
      </c>
      <c r="C13" s="156" t="s">
        <v>49</v>
      </c>
      <c r="D13" s="156" t="s">
        <v>97</v>
      </c>
      <c r="E13" s="25" t="s">
        <v>110</v>
      </c>
      <c r="F13" s="26">
        <v>0.05</v>
      </c>
      <c r="G13" s="79">
        <f>F6*F13</f>
        <v>30</v>
      </c>
      <c r="H13" s="109">
        <f>G13*'Foglio 3'!E3</f>
        <v>777.3</v>
      </c>
      <c r="I13" s="68"/>
      <c r="J13" s="68"/>
      <c r="K13" s="34">
        <v>0.05</v>
      </c>
      <c r="L13" s="79">
        <f>K6*K13</f>
        <v>15</v>
      </c>
      <c r="M13" s="66">
        <v>4.4999999999999998E-2</v>
      </c>
      <c r="N13" s="27" t="s">
        <v>61</v>
      </c>
      <c r="O13" s="26">
        <v>1</v>
      </c>
      <c r="P13" s="28">
        <f>O13</f>
        <v>1</v>
      </c>
      <c r="Q13" s="97">
        <f>O13*U13</f>
        <v>427.83</v>
      </c>
      <c r="R13" s="97">
        <f>ROUND(Q13*'Foglio 3'!D10,2)</f>
        <v>8821.85</v>
      </c>
      <c r="S13" s="97">
        <f>R13</f>
        <v>8821.85</v>
      </c>
      <c r="T13" s="97"/>
      <c r="U13" s="104">
        <f>(M13*Z8)+L13</f>
        <v>427.83</v>
      </c>
      <c r="V13" s="104">
        <f>U13</f>
        <v>427.83</v>
      </c>
      <c r="W13" s="104">
        <f>U13</f>
        <v>427.83</v>
      </c>
      <c r="X13" s="104">
        <f>R13</f>
        <v>8821.85</v>
      </c>
      <c r="Y13" s="104">
        <f>R13</f>
        <v>8821.85</v>
      </c>
    </row>
    <row r="14" spans="1:28" ht="158.25" customHeight="1" x14ac:dyDescent="0.35">
      <c r="A14" s="174"/>
      <c r="B14" s="146"/>
      <c r="C14" s="156"/>
      <c r="D14" s="156"/>
      <c r="E14" s="25" t="s">
        <v>112</v>
      </c>
      <c r="F14" s="26">
        <v>0.05</v>
      </c>
      <c r="G14" s="79">
        <f>F6*F14</f>
        <v>30</v>
      </c>
      <c r="H14" s="109">
        <f>G14*'Foglio 3'!E3</f>
        <v>777.3</v>
      </c>
      <c r="I14" s="68"/>
      <c r="J14" s="68"/>
      <c r="K14" s="34">
        <v>0.05</v>
      </c>
      <c r="L14" s="79">
        <f>K6*K14</f>
        <v>15</v>
      </c>
      <c r="M14" s="66">
        <v>4.4999999999999998E-2</v>
      </c>
      <c r="N14" s="45" t="s">
        <v>67</v>
      </c>
      <c r="O14" s="26">
        <v>1</v>
      </c>
      <c r="P14" s="29">
        <f>O14</f>
        <v>1</v>
      </c>
      <c r="Q14" s="99">
        <f>O14*U14</f>
        <v>427.83</v>
      </c>
      <c r="R14" s="97">
        <f>ROUND(Q14*'Foglio 3'!D12,2)</f>
        <v>12047.69</v>
      </c>
      <c r="S14" s="97"/>
      <c r="T14" s="97">
        <f>R14</f>
        <v>12047.69</v>
      </c>
      <c r="U14" s="104">
        <f>(M14*Z8)+L14</f>
        <v>427.83</v>
      </c>
      <c r="V14" s="104">
        <f>U14</f>
        <v>427.83</v>
      </c>
      <c r="W14" s="104">
        <f>U14</f>
        <v>427.83</v>
      </c>
      <c r="X14" s="104">
        <f>R14</f>
        <v>12047.69</v>
      </c>
      <c r="Y14" s="104">
        <f>R14</f>
        <v>12047.69</v>
      </c>
    </row>
    <row r="15" spans="1:28" ht="58.5" customHeight="1" x14ac:dyDescent="0.35">
      <c r="A15" s="174">
        <v>3</v>
      </c>
      <c r="B15" s="146" t="s">
        <v>37</v>
      </c>
      <c r="C15" s="156" t="s">
        <v>58</v>
      </c>
      <c r="D15" s="157" t="s">
        <v>63</v>
      </c>
      <c r="E15" s="156" t="s">
        <v>99</v>
      </c>
      <c r="F15" s="184">
        <v>0.05</v>
      </c>
      <c r="G15" s="151">
        <f>F6*F15</f>
        <v>30</v>
      </c>
      <c r="H15" s="182">
        <f>G15*'Foglio 3'!E3</f>
        <v>777.3</v>
      </c>
      <c r="I15" s="68"/>
      <c r="J15" s="68"/>
      <c r="K15" s="152">
        <v>0.08</v>
      </c>
      <c r="L15" s="151">
        <f>K6*K15</f>
        <v>24</v>
      </c>
      <c r="M15" s="148">
        <v>0.12</v>
      </c>
      <c r="N15" s="30" t="s">
        <v>61</v>
      </c>
      <c r="O15" s="26">
        <v>0.7</v>
      </c>
      <c r="P15" s="169">
        <f>O15+O16+O17</f>
        <v>1</v>
      </c>
      <c r="Q15" s="99">
        <f>ROUND(O15*U15,2)</f>
        <v>787.42</v>
      </c>
      <c r="R15" s="97">
        <f>ROUND(Q15*'Foglio 3'!D10,2)</f>
        <v>16236.6</v>
      </c>
      <c r="S15" s="100">
        <f>R15</f>
        <v>16236.6</v>
      </c>
      <c r="T15" s="100"/>
      <c r="U15" s="143">
        <f>(M15*Z8)+L15</f>
        <v>1124.8799999999999</v>
      </c>
      <c r="V15" s="143">
        <f>U15</f>
        <v>1124.8799999999999</v>
      </c>
      <c r="W15" s="143"/>
      <c r="X15" s="143">
        <f>R15+R16+R17</f>
        <v>32250.77</v>
      </c>
      <c r="Y15" s="143"/>
    </row>
    <row r="16" spans="1:28" ht="58.5" customHeight="1" x14ac:dyDescent="0.35">
      <c r="A16" s="174"/>
      <c r="B16" s="146"/>
      <c r="C16" s="156"/>
      <c r="D16" s="157"/>
      <c r="E16" s="156"/>
      <c r="F16" s="184"/>
      <c r="G16" s="151"/>
      <c r="H16" s="182"/>
      <c r="I16" s="68"/>
      <c r="J16" s="68"/>
      <c r="K16" s="152"/>
      <c r="L16" s="151"/>
      <c r="M16" s="148"/>
      <c r="N16" s="46" t="s">
        <v>68</v>
      </c>
      <c r="O16" s="26">
        <v>0.15</v>
      </c>
      <c r="P16" s="170"/>
      <c r="Q16" s="99">
        <f>ROUND(O16*U15,2)</f>
        <v>168.73</v>
      </c>
      <c r="R16" s="97">
        <f>ROUND(Q16*'Foglio 3'!D12,2)</f>
        <v>4751.4399999999996</v>
      </c>
      <c r="S16" s="101"/>
      <c r="T16" s="101">
        <f>R16</f>
        <v>4751.4399999999996</v>
      </c>
      <c r="U16" s="144"/>
      <c r="V16" s="144"/>
      <c r="W16" s="144"/>
      <c r="X16" s="144"/>
      <c r="Y16" s="144"/>
    </row>
    <row r="17" spans="1:28" ht="58.5" customHeight="1" x14ac:dyDescent="0.35">
      <c r="A17" s="174"/>
      <c r="B17" s="146"/>
      <c r="C17" s="157"/>
      <c r="D17" s="157"/>
      <c r="E17" s="156"/>
      <c r="F17" s="184"/>
      <c r="G17" s="151"/>
      <c r="H17" s="182"/>
      <c r="I17" s="68"/>
      <c r="J17" s="68"/>
      <c r="K17" s="152"/>
      <c r="L17" s="151"/>
      <c r="M17" s="148"/>
      <c r="N17" s="46" t="s">
        <v>24</v>
      </c>
      <c r="O17" s="26">
        <v>0.15</v>
      </c>
      <c r="P17" s="170"/>
      <c r="Q17" s="99">
        <f>ROUND(O17*U15,2)</f>
        <v>168.73</v>
      </c>
      <c r="R17" s="97">
        <f>ROUND(Q17*'Foglio 3'!D13,2)</f>
        <v>11262.73</v>
      </c>
      <c r="S17" s="96"/>
      <c r="T17" s="96">
        <f>R17</f>
        <v>11262.73</v>
      </c>
      <c r="U17" s="145"/>
      <c r="V17" s="145"/>
      <c r="W17" s="145"/>
      <c r="X17" s="145"/>
      <c r="Y17" s="145"/>
    </row>
    <row r="18" spans="1:28" ht="39.75" customHeight="1" x14ac:dyDescent="0.35">
      <c r="A18" s="174"/>
      <c r="B18" s="146"/>
      <c r="C18" s="157"/>
      <c r="D18" s="158" t="s">
        <v>53</v>
      </c>
      <c r="E18" s="156" t="s">
        <v>101</v>
      </c>
      <c r="F18" s="184">
        <v>0.1</v>
      </c>
      <c r="G18" s="151">
        <f>F6*F18</f>
        <v>60</v>
      </c>
      <c r="H18" s="182">
        <f>G18*'Foglio 3'!E3</f>
        <v>1554.6</v>
      </c>
      <c r="I18" s="68"/>
      <c r="J18" s="68"/>
      <c r="K18" s="152">
        <v>0.1</v>
      </c>
      <c r="L18" s="151">
        <f>K6*K18</f>
        <v>30</v>
      </c>
      <c r="M18" s="148">
        <v>0.12</v>
      </c>
      <c r="N18" s="30" t="s">
        <v>61</v>
      </c>
      <c r="O18" s="26">
        <v>0.3</v>
      </c>
      <c r="P18" s="149">
        <f>O18+O19+O20+O21</f>
        <v>1</v>
      </c>
      <c r="Q18" s="99">
        <f>ROUND(O18*U18,2)</f>
        <v>339.26</v>
      </c>
      <c r="R18" s="97">
        <f>ROUND(Q18*'Foglio 3'!D10,2)</f>
        <v>6995.54</v>
      </c>
      <c r="S18" s="100">
        <f>R18</f>
        <v>6995.54</v>
      </c>
      <c r="T18" s="100"/>
      <c r="U18" s="143">
        <f>(M18*Z8)+L18</f>
        <v>1130.8799999999999</v>
      </c>
      <c r="V18" s="143"/>
      <c r="W18" s="143">
        <f>U18</f>
        <v>1130.8799999999999</v>
      </c>
      <c r="X18" s="143"/>
      <c r="Y18" s="143">
        <f>R18+R19+R20+R21</f>
        <v>24723.74</v>
      </c>
    </row>
    <row r="19" spans="1:28" ht="39.75" customHeight="1" x14ac:dyDescent="0.35">
      <c r="A19" s="174"/>
      <c r="B19" s="146"/>
      <c r="C19" s="157"/>
      <c r="D19" s="158"/>
      <c r="E19" s="156"/>
      <c r="F19" s="184"/>
      <c r="G19" s="151"/>
      <c r="H19" s="182"/>
      <c r="I19" s="68"/>
      <c r="J19" s="68"/>
      <c r="K19" s="152"/>
      <c r="L19" s="151"/>
      <c r="M19" s="148"/>
      <c r="N19" s="46" t="s">
        <v>67</v>
      </c>
      <c r="O19" s="26">
        <v>0.15</v>
      </c>
      <c r="P19" s="149"/>
      <c r="Q19" s="99">
        <f>ROUND(O19*U18,2)+0.01</f>
        <v>169.64</v>
      </c>
      <c r="R19" s="97">
        <f>ROUND(Q19*'Foglio 3'!D12,2)</f>
        <v>4777.0600000000004</v>
      </c>
      <c r="S19" s="101"/>
      <c r="T19" s="101">
        <f>R19</f>
        <v>4777.0600000000004</v>
      </c>
      <c r="U19" s="144"/>
      <c r="V19" s="144"/>
      <c r="W19" s="144"/>
      <c r="X19" s="144"/>
      <c r="Y19" s="144"/>
    </row>
    <row r="20" spans="1:28" ht="39.75" customHeight="1" x14ac:dyDescent="0.35">
      <c r="A20" s="174"/>
      <c r="B20" s="146"/>
      <c r="C20" s="157"/>
      <c r="D20" s="158"/>
      <c r="E20" s="156"/>
      <c r="F20" s="184"/>
      <c r="G20" s="151"/>
      <c r="H20" s="182"/>
      <c r="I20" s="68"/>
      <c r="J20" s="68"/>
      <c r="K20" s="152"/>
      <c r="L20" s="151"/>
      <c r="M20" s="148"/>
      <c r="N20" s="46" t="s">
        <v>24</v>
      </c>
      <c r="O20" s="26">
        <v>0.05</v>
      </c>
      <c r="P20" s="149"/>
      <c r="Q20" s="99">
        <f>ROUND(O20*U18,2)</f>
        <v>56.54</v>
      </c>
      <c r="R20" s="97">
        <f>ROUND(Q20*'Foglio 3'!D13,2)</f>
        <v>3774.05</v>
      </c>
      <c r="S20" s="101"/>
      <c r="T20" s="101">
        <f>R20</f>
        <v>3774.05</v>
      </c>
      <c r="U20" s="144"/>
      <c r="V20" s="144"/>
      <c r="W20" s="144"/>
      <c r="X20" s="144"/>
      <c r="Y20" s="144"/>
    </row>
    <row r="21" spans="1:28" ht="39.75" customHeight="1" x14ac:dyDescent="0.35">
      <c r="A21" s="174"/>
      <c r="B21" s="146"/>
      <c r="C21" s="157"/>
      <c r="D21" s="158"/>
      <c r="E21" s="156"/>
      <c r="F21" s="184"/>
      <c r="G21" s="151"/>
      <c r="H21" s="182"/>
      <c r="I21" s="68"/>
      <c r="J21" s="68"/>
      <c r="K21" s="152"/>
      <c r="L21" s="151"/>
      <c r="M21" s="148"/>
      <c r="N21" s="30" t="s">
        <v>34</v>
      </c>
      <c r="O21" s="26">
        <v>0.5</v>
      </c>
      <c r="P21" s="149"/>
      <c r="Q21" s="99">
        <f>O21*U18</f>
        <v>565.43999999999994</v>
      </c>
      <c r="R21" s="97">
        <f>ROUND(Q21*'Foglio 3'!D4,2)</f>
        <v>9177.09</v>
      </c>
      <c r="S21" s="96">
        <f t="shared" ref="S21:S30" si="0">R21</f>
        <v>9177.09</v>
      </c>
      <c r="T21" s="96"/>
      <c r="U21" s="145"/>
      <c r="V21" s="145"/>
      <c r="W21" s="145"/>
      <c r="X21" s="145"/>
      <c r="Y21" s="145"/>
    </row>
    <row r="22" spans="1:28" ht="71.25" customHeight="1" x14ac:dyDescent="0.35">
      <c r="A22" s="174">
        <v>4</v>
      </c>
      <c r="B22" s="157" t="s">
        <v>38</v>
      </c>
      <c r="C22" s="157" t="s">
        <v>100</v>
      </c>
      <c r="D22" s="179" t="s">
        <v>57</v>
      </c>
      <c r="E22" s="147" t="s">
        <v>102</v>
      </c>
      <c r="F22" s="159">
        <v>0.05</v>
      </c>
      <c r="G22" s="155">
        <f>F6*F22</f>
        <v>30</v>
      </c>
      <c r="H22" s="181">
        <f>G22*'Foglio 3'!E3</f>
        <v>777.3</v>
      </c>
      <c r="I22" s="68"/>
      <c r="J22" s="68"/>
      <c r="K22" s="153">
        <v>0.05</v>
      </c>
      <c r="L22" s="155">
        <f>K6*K22</f>
        <v>15</v>
      </c>
      <c r="M22" s="175">
        <v>0.06</v>
      </c>
      <c r="N22" s="30" t="s">
        <v>61</v>
      </c>
      <c r="O22" s="26">
        <v>0.7</v>
      </c>
      <c r="P22" s="171">
        <f>O22+O23</f>
        <v>1</v>
      </c>
      <c r="Q22" s="99">
        <f>ROUND(O22*U22,2)</f>
        <v>395.81</v>
      </c>
      <c r="R22" s="97">
        <f>ROUND(Q22*'Foglio 3'!D10,2)</f>
        <v>8161.6</v>
      </c>
      <c r="S22" s="100">
        <f t="shared" si="0"/>
        <v>8161.6</v>
      </c>
      <c r="T22" s="100"/>
      <c r="U22" s="143">
        <f>(M22*Z8)+L22</f>
        <v>565.43999999999994</v>
      </c>
      <c r="V22" s="143">
        <f>U22</f>
        <v>565.43999999999994</v>
      </c>
      <c r="W22" s="143"/>
      <c r="X22" s="143">
        <f>R22+R23</f>
        <v>11842.57</v>
      </c>
      <c r="Y22" s="143"/>
    </row>
    <row r="23" spans="1:28" ht="71.25" customHeight="1" x14ac:dyDescent="0.35">
      <c r="A23" s="174"/>
      <c r="B23" s="158"/>
      <c r="C23" s="157"/>
      <c r="D23" s="180"/>
      <c r="E23" s="180"/>
      <c r="F23" s="159"/>
      <c r="G23" s="155"/>
      <c r="H23" s="181"/>
      <c r="I23" s="68"/>
      <c r="J23" s="68"/>
      <c r="K23" s="153"/>
      <c r="L23" s="155"/>
      <c r="M23" s="176"/>
      <c r="N23" s="30" t="s">
        <v>25</v>
      </c>
      <c r="O23" s="26">
        <v>0.3</v>
      </c>
      <c r="P23" s="171"/>
      <c r="Q23" s="99">
        <f>ROUND(O23*U22,2)</f>
        <v>169.63</v>
      </c>
      <c r="R23" s="97">
        <f>ROUND(Q23*'Foglio 3'!D9,2)</f>
        <v>3680.97</v>
      </c>
      <c r="S23" s="96">
        <f t="shared" si="0"/>
        <v>3680.97</v>
      </c>
      <c r="T23" s="96"/>
      <c r="U23" s="145"/>
      <c r="V23" s="145"/>
      <c r="W23" s="145"/>
      <c r="X23" s="145"/>
      <c r="Y23" s="145"/>
    </row>
    <row r="24" spans="1:28" ht="53.25" customHeight="1" x14ac:dyDescent="0.35">
      <c r="A24" s="174"/>
      <c r="B24" s="158"/>
      <c r="C24" s="157"/>
      <c r="D24" s="158" t="s">
        <v>53</v>
      </c>
      <c r="E24" s="156" t="s">
        <v>103</v>
      </c>
      <c r="F24" s="164">
        <v>0.05</v>
      </c>
      <c r="G24" s="154">
        <f>F6*F24</f>
        <v>30</v>
      </c>
      <c r="H24" s="160">
        <f>G24*'Foglio 3'!E3</f>
        <v>777.3</v>
      </c>
      <c r="I24" s="68"/>
      <c r="J24" s="68"/>
      <c r="K24" s="161">
        <v>0.05</v>
      </c>
      <c r="L24" s="154">
        <f>K6*K24</f>
        <v>15</v>
      </c>
      <c r="M24" s="148">
        <v>7.0000000000000007E-2</v>
      </c>
      <c r="N24" s="30" t="s">
        <v>61</v>
      </c>
      <c r="O24" s="26">
        <v>0.5</v>
      </c>
      <c r="P24" s="149">
        <f>O24+O25</f>
        <v>1</v>
      </c>
      <c r="Q24" s="99">
        <f>O24*U24</f>
        <v>328.59000000000003</v>
      </c>
      <c r="R24" s="97">
        <f>ROUND(Q24*'Foglio 3'!D10,2)</f>
        <v>6775.53</v>
      </c>
      <c r="S24" s="100">
        <f t="shared" si="0"/>
        <v>6775.53</v>
      </c>
      <c r="T24" s="100"/>
      <c r="U24" s="143">
        <f>(M24*Z8)+L24</f>
        <v>657.18000000000006</v>
      </c>
      <c r="V24" s="143"/>
      <c r="W24" s="143">
        <f>U24</f>
        <v>657.18000000000006</v>
      </c>
      <c r="X24" s="143"/>
      <c r="Y24" s="143">
        <f>R24+R25</f>
        <v>13905.93</v>
      </c>
    </row>
    <row r="25" spans="1:28" ht="53.25" customHeight="1" x14ac:dyDescent="0.35">
      <c r="A25" s="174"/>
      <c r="B25" s="158"/>
      <c r="C25" s="157"/>
      <c r="D25" s="158"/>
      <c r="E25" s="156"/>
      <c r="F25" s="164"/>
      <c r="G25" s="154"/>
      <c r="H25" s="160"/>
      <c r="I25" s="68"/>
      <c r="J25" s="68"/>
      <c r="K25" s="161"/>
      <c r="L25" s="154"/>
      <c r="M25" s="148"/>
      <c r="N25" s="27" t="s">
        <v>25</v>
      </c>
      <c r="O25" s="26">
        <v>0.5</v>
      </c>
      <c r="P25" s="149"/>
      <c r="Q25" s="99">
        <f>O25*U24</f>
        <v>328.59000000000003</v>
      </c>
      <c r="R25" s="97">
        <f>ROUND(Q25*'Foglio 3'!D9,2)</f>
        <v>7130.4</v>
      </c>
      <c r="S25" s="96">
        <f t="shared" si="0"/>
        <v>7130.4</v>
      </c>
      <c r="T25" s="96"/>
      <c r="U25" s="145"/>
      <c r="V25" s="145"/>
      <c r="W25" s="145"/>
      <c r="X25" s="145"/>
      <c r="Y25" s="145"/>
    </row>
    <row r="26" spans="1:28" ht="15" customHeight="1" x14ac:dyDescent="0.35">
      <c r="A26" s="91" t="s">
        <v>144</v>
      </c>
      <c r="B26" s="80"/>
      <c r="C26" s="80"/>
      <c r="D26" s="80"/>
      <c r="E26" s="80"/>
      <c r="F26" s="80"/>
      <c r="G26" s="80"/>
      <c r="H26" s="110"/>
      <c r="I26" s="82"/>
      <c r="J26" s="82"/>
      <c r="K26" s="83"/>
      <c r="L26" s="107"/>
      <c r="M26" s="80"/>
      <c r="N26" s="80"/>
      <c r="O26" s="80"/>
      <c r="P26" s="80"/>
      <c r="Q26" s="84"/>
      <c r="R26" s="84"/>
      <c r="S26" s="98"/>
      <c r="T26" s="98"/>
      <c r="U26" s="103"/>
      <c r="V26" s="103"/>
      <c r="W26" s="103"/>
      <c r="X26" s="103"/>
      <c r="Y26" s="103"/>
      <c r="Z26" s="94"/>
      <c r="AA26" s="95"/>
      <c r="AB26" s="52"/>
    </row>
    <row r="27" spans="1:28" ht="47.25" customHeight="1" x14ac:dyDescent="0.35">
      <c r="A27" s="174">
        <v>5</v>
      </c>
      <c r="B27" s="157" t="s">
        <v>39</v>
      </c>
      <c r="C27" s="157" t="s">
        <v>95</v>
      </c>
      <c r="D27" s="158" t="s">
        <v>53</v>
      </c>
      <c r="E27" s="156" t="s">
        <v>93</v>
      </c>
      <c r="F27" s="183">
        <v>2.5000000000000001E-2</v>
      </c>
      <c r="G27" s="155">
        <f>F6*F27</f>
        <v>15</v>
      </c>
      <c r="H27" s="181">
        <f>G27*'Foglio 3'!E3</f>
        <v>388.65</v>
      </c>
      <c r="I27" s="68"/>
      <c r="J27" s="68"/>
      <c r="K27" s="153">
        <v>0.04</v>
      </c>
      <c r="L27" s="155">
        <f>K6*K27</f>
        <v>12</v>
      </c>
      <c r="M27" s="148">
        <v>0.05</v>
      </c>
      <c r="N27" s="30" t="s">
        <v>35</v>
      </c>
      <c r="O27" s="26">
        <v>0.6</v>
      </c>
      <c r="P27" s="149">
        <f>O27+O28+O29</f>
        <v>1</v>
      </c>
      <c r="Q27" s="99">
        <f>O27*U27</f>
        <v>282.42</v>
      </c>
      <c r="R27" s="97">
        <f>ROUND(Q27*'Foglio 3'!D9,2)</f>
        <v>6128.51</v>
      </c>
      <c r="S27" s="100">
        <f t="shared" si="0"/>
        <v>6128.51</v>
      </c>
      <c r="T27" s="100"/>
      <c r="U27" s="143">
        <f>(M27*Z8)+L27</f>
        <v>470.70000000000005</v>
      </c>
      <c r="V27" s="143"/>
      <c r="W27" s="143">
        <f>U27</f>
        <v>470.70000000000005</v>
      </c>
      <c r="X27" s="143"/>
      <c r="Y27" s="143">
        <f>R27+R28+R29</f>
        <v>10609.470000000001</v>
      </c>
    </row>
    <row r="28" spans="1:28" ht="47.25" customHeight="1" x14ac:dyDescent="0.35">
      <c r="A28" s="174"/>
      <c r="B28" s="157"/>
      <c r="C28" s="157"/>
      <c r="D28" s="158"/>
      <c r="E28" s="156"/>
      <c r="F28" s="183"/>
      <c r="G28" s="155"/>
      <c r="H28" s="181"/>
      <c r="I28" s="68"/>
      <c r="J28" s="68"/>
      <c r="K28" s="153"/>
      <c r="L28" s="155"/>
      <c r="M28" s="148"/>
      <c r="N28" s="30" t="s">
        <v>61</v>
      </c>
      <c r="O28" s="26">
        <v>0.35</v>
      </c>
      <c r="P28" s="149"/>
      <c r="Q28" s="99">
        <f>ROUND(O28*U27,2)-0.01</f>
        <v>164.74</v>
      </c>
      <c r="R28" s="97">
        <f>ROUND(Q28*'Foglio 3'!D10,2)</f>
        <v>3396.94</v>
      </c>
      <c r="S28" s="101">
        <f t="shared" si="0"/>
        <v>3396.94</v>
      </c>
      <c r="T28" s="101"/>
      <c r="U28" s="144"/>
      <c r="V28" s="144"/>
      <c r="W28" s="144"/>
      <c r="X28" s="144"/>
      <c r="Y28" s="144"/>
    </row>
    <row r="29" spans="1:28" ht="47.25" customHeight="1" x14ac:dyDescent="0.35">
      <c r="A29" s="174"/>
      <c r="B29" s="157"/>
      <c r="C29" s="157"/>
      <c r="D29" s="158"/>
      <c r="E29" s="156"/>
      <c r="F29" s="183"/>
      <c r="G29" s="155"/>
      <c r="H29" s="181"/>
      <c r="I29" s="68"/>
      <c r="J29" s="68"/>
      <c r="K29" s="153"/>
      <c r="L29" s="155"/>
      <c r="M29" s="148"/>
      <c r="N29" s="30" t="s">
        <v>36</v>
      </c>
      <c r="O29" s="26">
        <v>0.05</v>
      </c>
      <c r="P29" s="149"/>
      <c r="Q29" s="99">
        <f>ROUND(O29*U27,2)</f>
        <v>23.54</v>
      </c>
      <c r="R29" s="97">
        <f>ROUND(Q29*'Foglio 3'!D6,2)</f>
        <v>1084.02</v>
      </c>
      <c r="S29" s="96">
        <f t="shared" si="0"/>
        <v>1084.02</v>
      </c>
      <c r="T29" s="96"/>
      <c r="U29" s="145"/>
      <c r="V29" s="145"/>
      <c r="W29" s="145"/>
      <c r="X29" s="145"/>
      <c r="Y29" s="145"/>
    </row>
    <row r="30" spans="1:28" ht="90.75" customHeight="1" x14ac:dyDescent="0.35">
      <c r="A30" s="174">
        <v>6</v>
      </c>
      <c r="B30" s="157" t="s">
        <v>40</v>
      </c>
      <c r="C30" s="157" t="s">
        <v>32</v>
      </c>
      <c r="D30" s="180" t="s">
        <v>53</v>
      </c>
      <c r="E30" s="147" t="s">
        <v>104</v>
      </c>
      <c r="F30" s="184">
        <v>0.1</v>
      </c>
      <c r="G30" s="151">
        <f>F6*F30</f>
        <v>60</v>
      </c>
      <c r="H30" s="182">
        <f>G30*'Foglio 3'!E3</f>
        <v>1554.6</v>
      </c>
      <c r="I30" s="68"/>
      <c r="J30" s="68"/>
      <c r="K30" s="152">
        <v>0.24</v>
      </c>
      <c r="L30" s="151">
        <f>K6*K30</f>
        <v>72</v>
      </c>
      <c r="M30" s="150">
        <v>0.27</v>
      </c>
      <c r="N30" s="31" t="s">
        <v>61</v>
      </c>
      <c r="O30" s="26">
        <v>0.6</v>
      </c>
      <c r="P30" s="149">
        <f>O30+O31+O32+O33</f>
        <v>1</v>
      </c>
      <c r="Q30" s="99">
        <f>ROUND(O30*U30,2)-0.01</f>
        <v>1529.38</v>
      </c>
      <c r="R30" s="97">
        <f>ROUND(Q30*'Foglio 3'!D10,2)</f>
        <v>31535.82</v>
      </c>
      <c r="S30" s="100">
        <f t="shared" si="0"/>
        <v>31535.82</v>
      </c>
      <c r="T30" s="100"/>
      <c r="U30" s="143">
        <f>(M30*Z8)+L30</f>
        <v>2548.98</v>
      </c>
      <c r="V30" s="143"/>
      <c r="W30" s="143">
        <f>U30</f>
        <v>2548.98</v>
      </c>
      <c r="X30" s="143"/>
      <c r="Y30" s="143">
        <f>R30+R31+R32+R33</f>
        <v>71069.540000000008</v>
      </c>
    </row>
    <row r="31" spans="1:28" ht="90.75" customHeight="1" x14ac:dyDescent="0.35">
      <c r="A31" s="174"/>
      <c r="B31" s="158"/>
      <c r="C31" s="157"/>
      <c r="D31" s="180"/>
      <c r="E31" s="147"/>
      <c r="F31" s="184"/>
      <c r="G31" s="151"/>
      <c r="H31" s="182"/>
      <c r="I31" s="68"/>
      <c r="J31" s="68"/>
      <c r="K31" s="152"/>
      <c r="L31" s="151"/>
      <c r="M31" s="150"/>
      <c r="N31" s="47" t="s">
        <v>23</v>
      </c>
      <c r="O31" s="26">
        <v>0.05</v>
      </c>
      <c r="P31" s="149"/>
      <c r="Q31" s="99">
        <f>ROUND(O31*U30,2)</f>
        <v>127.45</v>
      </c>
      <c r="R31" s="97">
        <f>ROUND(Q31*'Foglio 3'!D11,2)</f>
        <v>4574.18</v>
      </c>
      <c r="S31" s="101">
        <f>50%*R31</f>
        <v>2287.09</v>
      </c>
      <c r="T31" s="101">
        <f>50%*R31</f>
        <v>2287.09</v>
      </c>
      <c r="U31" s="144"/>
      <c r="V31" s="144"/>
      <c r="W31" s="144"/>
      <c r="X31" s="144"/>
      <c r="Y31" s="144"/>
    </row>
    <row r="32" spans="1:28" ht="90.75" customHeight="1" x14ac:dyDescent="0.35">
      <c r="A32" s="174"/>
      <c r="B32" s="158"/>
      <c r="C32" s="157"/>
      <c r="D32" s="180"/>
      <c r="E32" s="147"/>
      <c r="F32" s="184"/>
      <c r="G32" s="151"/>
      <c r="H32" s="182"/>
      <c r="I32" s="68"/>
      <c r="J32" s="68"/>
      <c r="K32" s="152"/>
      <c r="L32" s="151"/>
      <c r="M32" s="150"/>
      <c r="N32" s="48" t="s">
        <v>67</v>
      </c>
      <c r="O32" s="26">
        <v>0.25</v>
      </c>
      <c r="P32" s="149"/>
      <c r="Q32" s="99">
        <f>ROUND(O32*U30,2)</f>
        <v>637.25</v>
      </c>
      <c r="R32" s="97">
        <f>ROUND(Q32*'Foglio 3'!D12,2)</f>
        <v>17944.96</v>
      </c>
      <c r="S32" s="101"/>
      <c r="T32" s="101">
        <f>R32</f>
        <v>17944.96</v>
      </c>
      <c r="U32" s="144"/>
      <c r="V32" s="144"/>
      <c r="W32" s="144"/>
      <c r="X32" s="144"/>
      <c r="Y32" s="144"/>
    </row>
    <row r="33" spans="1:28" ht="90.75" customHeight="1" x14ac:dyDescent="0.35">
      <c r="A33" s="174"/>
      <c r="B33" s="158"/>
      <c r="C33" s="157"/>
      <c r="D33" s="180"/>
      <c r="E33" s="147"/>
      <c r="F33" s="184"/>
      <c r="G33" s="151"/>
      <c r="H33" s="182"/>
      <c r="I33" s="68"/>
      <c r="J33" s="68"/>
      <c r="K33" s="152"/>
      <c r="L33" s="151"/>
      <c r="M33" s="150"/>
      <c r="N33" s="48" t="s">
        <v>24</v>
      </c>
      <c r="O33" s="26">
        <v>0.1</v>
      </c>
      <c r="P33" s="149"/>
      <c r="Q33" s="99">
        <f>ROUND(O33*U30,2)</f>
        <v>254.9</v>
      </c>
      <c r="R33" s="97">
        <f>ROUND(Q33*'Foglio 3'!D13,2)</f>
        <v>17014.580000000002</v>
      </c>
      <c r="S33" s="96"/>
      <c r="T33" s="96">
        <f>R33</f>
        <v>17014.580000000002</v>
      </c>
      <c r="U33" s="145"/>
      <c r="V33" s="145"/>
      <c r="W33" s="145"/>
      <c r="X33" s="145"/>
      <c r="Y33" s="145"/>
    </row>
    <row r="34" spans="1:28" ht="15" customHeight="1" x14ac:dyDescent="0.35">
      <c r="A34" s="91" t="s">
        <v>145</v>
      </c>
      <c r="B34" s="80"/>
      <c r="C34" s="80"/>
      <c r="D34" s="80"/>
      <c r="E34" s="80"/>
      <c r="F34" s="80"/>
      <c r="G34" s="80"/>
      <c r="H34" s="110"/>
      <c r="I34" s="82"/>
      <c r="J34" s="82"/>
      <c r="K34" s="83"/>
      <c r="L34" s="107"/>
      <c r="M34" s="80"/>
      <c r="N34" s="80"/>
      <c r="O34" s="80"/>
      <c r="P34" s="80"/>
      <c r="Q34" s="84"/>
      <c r="R34" s="84"/>
      <c r="S34" s="98"/>
      <c r="T34" s="98"/>
      <c r="U34" s="103"/>
      <c r="V34" s="103"/>
      <c r="W34" s="103"/>
      <c r="X34" s="103"/>
      <c r="Y34" s="103"/>
      <c r="Z34" s="94"/>
      <c r="AA34" s="95"/>
      <c r="AB34" s="52"/>
    </row>
    <row r="35" spans="1:28" ht="65.25" customHeight="1" x14ac:dyDescent="0.35">
      <c r="A35" s="174">
        <v>7</v>
      </c>
      <c r="B35" s="157" t="s">
        <v>41</v>
      </c>
      <c r="C35" s="156" t="s">
        <v>50</v>
      </c>
      <c r="D35" s="157" t="s">
        <v>62</v>
      </c>
      <c r="E35" s="147" t="s">
        <v>105</v>
      </c>
      <c r="F35" s="185">
        <v>0.125</v>
      </c>
      <c r="G35" s="154">
        <f>F6*F35</f>
        <v>75</v>
      </c>
      <c r="H35" s="160">
        <f>G35*'Foglio 3'!E3</f>
        <v>1943.25</v>
      </c>
      <c r="I35" s="68"/>
      <c r="J35" s="68"/>
      <c r="K35" s="161">
        <v>0.15</v>
      </c>
      <c r="L35" s="154">
        <f>K6*K35</f>
        <v>45</v>
      </c>
      <c r="M35" s="207">
        <v>0.13</v>
      </c>
      <c r="N35" s="30" t="s">
        <v>61</v>
      </c>
      <c r="O35" s="26">
        <v>0.7</v>
      </c>
      <c r="P35" s="171">
        <f>O35+O36+O37</f>
        <v>0.99999999999999989</v>
      </c>
      <c r="Q35" s="99">
        <f>ROUND(O35*U35,2)+0.01</f>
        <v>866.34</v>
      </c>
      <c r="R35" s="97">
        <f>ROUND(Q35*'Foglio 3'!D10,2)</f>
        <v>17863.93</v>
      </c>
      <c r="S35" s="100">
        <f>R35</f>
        <v>17863.93</v>
      </c>
      <c r="T35" s="100"/>
      <c r="U35" s="143">
        <f>(M35*Z8)+L35</f>
        <v>1237.6200000000001</v>
      </c>
      <c r="V35" s="143"/>
      <c r="W35" s="143">
        <f>U35</f>
        <v>1237.6200000000001</v>
      </c>
      <c r="X35" s="143"/>
      <c r="Y35" s="143">
        <f>R35+R36+R37</f>
        <v>27676.86</v>
      </c>
    </row>
    <row r="36" spans="1:28" ht="65.25" customHeight="1" x14ac:dyDescent="0.35">
      <c r="A36" s="174"/>
      <c r="B36" s="158"/>
      <c r="C36" s="158"/>
      <c r="D36" s="157"/>
      <c r="E36" s="147"/>
      <c r="F36" s="185"/>
      <c r="G36" s="154"/>
      <c r="H36" s="160"/>
      <c r="I36" s="68"/>
      <c r="J36" s="68"/>
      <c r="K36" s="161"/>
      <c r="L36" s="154"/>
      <c r="M36" s="207"/>
      <c r="N36" s="30" t="s">
        <v>25</v>
      </c>
      <c r="O36" s="26">
        <v>0.2</v>
      </c>
      <c r="P36" s="171"/>
      <c r="Q36" s="99">
        <f>ROUND(O36*U35,2)</f>
        <v>247.52</v>
      </c>
      <c r="R36" s="97">
        <f>ROUND(Q36*'Foglio 3'!D9,2)</f>
        <v>5371.18</v>
      </c>
      <c r="S36" s="101">
        <f>R36</f>
        <v>5371.18</v>
      </c>
      <c r="T36" s="101"/>
      <c r="U36" s="144"/>
      <c r="V36" s="144"/>
      <c r="W36" s="144"/>
      <c r="X36" s="144"/>
      <c r="Y36" s="144"/>
    </row>
    <row r="37" spans="1:28" ht="65.25" customHeight="1" x14ac:dyDescent="0.35">
      <c r="A37" s="174"/>
      <c r="B37" s="158"/>
      <c r="C37" s="158"/>
      <c r="D37" s="157"/>
      <c r="E37" s="147"/>
      <c r="F37" s="185"/>
      <c r="G37" s="154"/>
      <c r="H37" s="160"/>
      <c r="I37" s="68"/>
      <c r="J37" s="68"/>
      <c r="K37" s="161"/>
      <c r="L37" s="154"/>
      <c r="M37" s="207"/>
      <c r="N37" s="49" t="s">
        <v>23</v>
      </c>
      <c r="O37" s="26">
        <v>0.1</v>
      </c>
      <c r="P37" s="171"/>
      <c r="Q37" s="99">
        <f>ROUND(O37*U35,2)</f>
        <v>123.76</v>
      </c>
      <c r="R37" s="97">
        <f>ROUND(Q37*'Foglio 3'!D11,2)</f>
        <v>4441.75</v>
      </c>
      <c r="S37" s="96">
        <f>ROUND(50%*R37,2)</f>
        <v>2220.88</v>
      </c>
      <c r="T37" s="96">
        <f>ROUND(50%*R37,2)</f>
        <v>2220.88</v>
      </c>
      <c r="U37" s="145"/>
      <c r="V37" s="145"/>
      <c r="W37" s="145"/>
      <c r="X37" s="145"/>
      <c r="Y37" s="145"/>
      <c r="AA37"/>
    </row>
    <row r="38" spans="1:28" ht="62.25" customHeight="1" x14ac:dyDescent="0.35">
      <c r="A38" s="174">
        <v>8</v>
      </c>
      <c r="B38" s="157" t="s">
        <v>111</v>
      </c>
      <c r="C38" s="157" t="s">
        <v>51</v>
      </c>
      <c r="D38" s="157" t="s">
        <v>54</v>
      </c>
      <c r="E38" s="156" t="s">
        <v>94</v>
      </c>
      <c r="F38" s="159">
        <v>0.05</v>
      </c>
      <c r="G38" s="155">
        <f>F6*F38</f>
        <v>30</v>
      </c>
      <c r="H38" s="181">
        <f>G38*'Foglio 3'!E3</f>
        <v>777.3</v>
      </c>
      <c r="I38" s="68"/>
      <c r="J38" s="68"/>
      <c r="K38" s="162">
        <v>0.03</v>
      </c>
      <c r="L38" s="217">
        <f>K6*K38</f>
        <v>9</v>
      </c>
      <c r="M38" s="148">
        <v>0.01</v>
      </c>
      <c r="N38" s="30" t="s">
        <v>61</v>
      </c>
      <c r="O38" s="26">
        <v>0.85</v>
      </c>
      <c r="P38" s="149">
        <f>O38+O39</f>
        <v>1</v>
      </c>
      <c r="Q38" s="99">
        <f>ROUND(O38*U38,2)</f>
        <v>85.63</v>
      </c>
      <c r="R38" s="97">
        <f>ROUND(Q38*'Foglio 3'!D10,2)</f>
        <v>1765.69</v>
      </c>
      <c r="S38" s="100">
        <f>R38</f>
        <v>1765.69</v>
      </c>
      <c r="T38" s="100"/>
      <c r="U38" s="143">
        <f>(M38*Z8)+L38</f>
        <v>100.74</v>
      </c>
      <c r="V38" s="143">
        <f>U38</f>
        <v>100.74</v>
      </c>
      <c r="W38" s="143"/>
      <c r="X38" s="143">
        <f>R38+R39</f>
        <v>2093.58</v>
      </c>
      <c r="Y38" s="143"/>
      <c r="AA38"/>
    </row>
    <row r="39" spans="1:28" ht="62.25" customHeight="1" x14ac:dyDescent="0.35">
      <c r="A39" s="174"/>
      <c r="B39" s="157"/>
      <c r="C39" s="157"/>
      <c r="D39" s="157"/>
      <c r="E39" s="156"/>
      <c r="F39" s="159"/>
      <c r="G39" s="155"/>
      <c r="H39" s="181"/>
      <c r="I39" s="68"/>
      <c r="J39" s="68"/>
      <c r="K39" s="163"/>
      <c r="L39" s="218"/>
      <c r="M39" s="148"/>
      <c r="N39" s="30" t="s">
        <v>25</v>
      </c>
      <c r="O39" s="26">
        <v>0.15</v>
      </c>
      <c r="P39" s="149"/>
      <c r="Q39" s="99">
        <f>ROUND(O39*U38,2)</f>
        <v>15.11</v>
      </c>
      <c r="R39" s="97">
        <f>ROUND(Q39*'Foglio 3'!D9,2)</f>
        <v>327.89</v>
      </c>
      <c r="S39" s="96">
        <f>R39</f>
        <v>327.89</v>
      </c>
      <c r="T39" s="96"/>
      <c r="U39" s="145"/>
      <c r="V39" s="145"/>
      <c r="W39" s="145"/>
      <c r="X39" s="145"/>
      <c r="Y39" s="145"/>
      <c r="AA39"/>
    </row>
    <row r="40" spans="1:28" ht="42.75" customHeight="1" x14ac:dyDescent="0.35">
      <c r="A40" s="174"/>
      <c r="B40" s="157"/>
      <c r="C40" s="157"/>
      <c r="D40" s="157" t="s">
        <v>63</v>
      </c>
      <c r="E40" s="156" t="s">
        <v>106</v>
      </c>
      <c r="F40" s="159"/>
      <c r="G40" s="155"/>
      <c r="H40" s="181"/>
      <c r="I40" s="68"/>
      <c r="J40" s="68"/>
      <c r="K40" s="162">
        <v>0.03</v>
      </c>
      <c r="L40" s="217">
        <f>K6*K40</f>
        <v>9</v>
      </c>
      <c r="M40" s="148">
        <v>0.02</v>
      </c>
      <c r="N40" s="30" t="s">
        <v>61</v>
      </c>
      <c r="O40" s="26">
        <v>0.9</v>
      </c>
      <c r="P40" s="149">
        <f>O40+O41</f>
        <v>1</v>
      </c>
      <c r="Q40" s="99">
        <f>ROUND(O40*U40,2)</f>
        <v>173.23</v>
      </c>
      <c r="R40" s="97">
        <f>ROUND(Q40*'Foglio 3'!D10,2)</f>
        <v>3572</v>
      </c>
      <c r="S40" s="100">
        <f>R40</f>
        <v>3572</v>
      </c>
      <c r="T40" s="100"/>
      <c r="U40" s="143">
        <f>(M40*Z8)+L40</f>
        <v>192.48</v>
      </c>
      <c r="V40" s="143">
        <f>U40</f>
        <v>192.48</v>
      </c>
      <c r="W40" s="143"/>
      <c r="X40" s="143">
        <f>R40+R41</f>
        <v>4114.08</v>
      </c>
      <c r="Y40" s="143"/>
    </row>
    <row r="41" spans="1:28" ht="42.75" customHeight="1" x14ac:dyDescent="0.35">
      <c r="A41" s="174"/>
      <c r="B41" s="157"/>
      <c r="C41" s="157"/>
      <c r="D41" s="157"/>
      <c r="E41" s="156"/>
      <c r="F41" s="159"/>
      <c r="G41" s="155"/>
      <c r="H41" s="181"/>
      <c r="I41" s="68"/>
      <c r="J41" s="68"/>
      <c r="K41" s="163"/>
      <c r="L41" s="218"/>
      <c r="M41" s="148"/>
      <c r="N41" s="46" t="s">
        <v>68</v>
      </c>
      <c r="O41" s="26">
        <v>0.1</v>
      </c>
      <c r="P41" s="149"/>
      <c r="Q41" s="99">
        <f>ROUND(O41*U40,2)</f>
        <v>19.25</v>
      </c>
      <c r="R41" s="97">
        <f>ROUND(Q41*'Foglio 3'!D12,2)</f>
        <v>542.08000000000004</v>
      </c>
      <c r="S41" s="96"/>
      <c r="T41" s="96">
        <f>R41</f>
        <v>542.08000000000004</v>
      </c>
      <c r="U41" s="145"/>
      <c r="V41" s="145"/>
      <c r="W41" s="145"/>
      <c r="X41" s="145"/>
      <c r="Y41" s="145"/>
    </row>
    <row r="42" spans="1:28" ht="78.75" customHeight="1" x14ac:dyDescent="0.35">
      <c r="A42" s="174"/>
      <c r="B42" s="157"/>
      <c r="C42" s="179" t="s">
        <v>52</v>
      </c>
      <c r="D42" s="179" t="s">
        <v>55</v>
      </c>
      <c r="E42" s="147" t="s">
        <v>107</v>
      </c>
      <c r="F42" s="159"/>
      <c r="G42" s="155"/>
      <c r="H42" s="181"/>
      <c r="I42" s="68"/>
      <c r="J42" s="68"/>
      <c r="K42" s="162">
        <v>0.03</v>
      </c>
      <c r="L42" s="217">
        <f>K6*K42</f>
        <v>9</v>
      </c>
      <c r="M42" s="148">
        <v>0.02</v>
      </c>
      <c r="N42" s="31" t="s">
        <v>31</v>
      </c>
      <c r="O42" s="26">
        <v>0.9</v>
      </c>
      <c r="P42" s="149">
        <f>O42+O43</f>
        <v>1</v>
      </c>
      <c r="Q42" s="99">
        <f>ROUND(O42*U42,2)</f>
        <v>173.23</v>
      </c>
      <c r="R42" s="97">
        <f>ROUND(Q42*'Foglio 3'!D9,2)</f>
        <v>3759.09</v>
      </c>
      <c r="S42" s="100">
        <f>R42</f>
        <v>3759.09</v>
      </c>
      <c r="T42" s="100"/>
      <c r="U42" s="143">
        <f>(M42*Z8)+L42</f>
        <v>192.48</v>
      </c>
      <c r="V42" s="143"/>
      <c r="W42" s="143">
        <f>U42</f>
        <v>192.48</v>
      </c>
      <c r="X42" s="143"/>
      <c r="Y42" s="143">
        <f>R42+R43</f>
        <v>4301.17</v>
      </c>
    </row>
    <row r="43" spans="1:28" ht="78.75" customHeight="1" x14ac:dyDescent="0.35">
      <c r="A43" s="174"/>
      <c r="B43" s="157"/>
      <c r="C43" s="179"/>
      <c r="D43" s="179"/>
      <c r="E43" s="147"/>
      <c r="F43" s="159"/>
      <c r="G43" s="155"/>
      <c r="H43" s="181"/>
      <c r="I43" s="69"/>
      <c r="J43" s="69"/>
      <c r="K43" s="163"/>
      <c r="L43" s="218"/>
      <c r="M43" s="148"/>
      <c r="N43" s="48" t="s">
        <v>68</v>
      </c>
      <c r="O43" s="26">
        <v>0.1</v>
      </c>
      <c r="P43" s="149"/>
      <c r="Q43" s="99">
        <f>ROUND(O43*U42,2)</f>
        <v>19.25</v>
      </c>
      <c r="R43" s="97">
        <f>ROUND(Q43*'Foglio 3'!D12,2)</f>
        <v>542.08000000000004</v>
      </c>
      <c r="S43" s="96"/>
      <c r="T43" s="96">
        <f>R43</f>
        <v>542.08000000000004</v>
      </c>
      <c r="U43" s="145"/>
      <c r="V43" s="145"/>
      <c r="W43" s="145"/>
      <c r="X43" s="145"/>
      <c r="Y43" s="145"/>
    </row>
    <row r="44" spans="1:28" x14ac:dyDescent="0.35">
      <c r="A44" s="15"/>
      <c r="B44" s="15"/>
      <c r="C44" s="15"/>
      <c r="D44" s="15"/>
      <c r="E44" s="15"/>
      <c r="F44" s="44">
        <f>SUM(F10:F43)</f>
        <v>1</v>
      </c>
      <c r="G44" s="70">
        <f>SUM(G10:G43)</f>
        <v>600</v>
      </c>
      <c r="H44" s="42">
        <f>SUM(H10:H43)</f>
        <v>15545.999999999998</v>
      </c>
      <c r="I44" s="78">
        <f>I6*'Foglio 3'!D3</f>
        <v>5826.0000000000009</v>
      </c>
      <c r="J44" s="78">
        <f>J6*'Foglio 3'!D7</f>
        <v>4660</v>
      </c>
      <c r="K44" s="44">
        <f>SUM(K10:K43)</f>
        <v>1</v>
      </c>
      <c r="L44" s="108">
        <f>SUM(L10:L43)</f>
        <v>300</v>
      </c>
      <c r="M44" s="67">
        <f>SUM(M10:M43)</f>
        <v>1</v>
      </c>
      <c r="N44" s="19"/>
      <c r="O44" s="19"/>
      <c r="P44" s="15"/>
      <c r="Q44" s="55">
        <f t="shared" ref="Q44:X44" si="1">SUM(Q10:Q43)</f>
        <v>9473.9999999999982</v>
      </c>
      <c r="R44" s="55">
        <f t="shared" si="1"/>
        <v>231856.92999999996</v>
      </c>
      <c r="S44" s="55">
        <f t="shared" si="1"/>
        <v>154692.29999999999</v>
      </c>
      <c r="T44" s="55">
        <f t="shared" si="1"/>
        <v>77164.640000000014</v>
      </c>
      <c r="U44" s="55">
        <f t="shared" si="1"/>
        <v>9474</v>
      </c>
      <c r="V44" s="55">
        <f t="shared" si="1"/>
        <v>3236.16</v>
      </c>
      <c r="W44" s="55">
        <f t="shared" si="1"/>
        <v>7490.46</v>
      </c>
      <c r="X44" s="55">
        <f t="shared" si="1"/>
        <v>79570.22</v>
      </c>
      <c r="Y44" s="55">
        <f t="shared" ref="Y44" si="2">SUM(Y10:Y43)</f>
        <v>181555.93000000002</v>
      </c>
      <c r="Z44" s="15"/>
      <c r="AA44" s="15"/>
      <c r="AB44" s="15"/>
    </row>
    <row r="45" spans="1:28" x14ac:dyDescent="0.35">
      <c r="A45" s="15"/>
      <c r="B45" s="15"/>
      <c r="C45" s="15"/>
      <c r="D45" s="15"/>
      <c r="E45" s="15"/>
      <c r="F45" s="44"/>
      <c r="G45" s="43"/>
      <c r="H45" s="42"/>
      <c r="I45" s="42"/>
      <c r="J45" s="42"/>
      <c r="K45" s="44"/>
      <c r="L45" s="43"/>
      <c r="M45" s="44"/>
      <c r="N45" s="111"/>
      <c r="O45" s="111"/>
      <c r="P45" s="112"/>
      <c r="Q45" s="113"/>
      <c r="R45" s="114" t="s">
        <v>141</v>
      </c>
      <c r="S45" s="59"/>
      <c r="T45" s="56"/>
      <c r="U45" s="56"/>
      <c r="V45" s="56"/>
      <c r="W45" s="55"/>
      <c r="X45" s="42"/>
      <c r="Y45" s="42"/>
      <c r="Z45" s="15"/>
      <c r="AA45" s="15"/>
      <c r="AB45" s="15"/>
    </row>
    <row r="46" spans="1:28" x14ac:dyDescent="0.35">
      <c r="A46" s="15"/>
      <c r="B46" s="15"/>
      <c r="C46" s="15"/>
      <c r="D46" s="15"/>
      <c r="E46" s="15"/>
      <c r="F46" s="44"/>
      <c r="G46" s="43"/>
      <c r="H46" s="42"/>
      <c r="I46" s="42"/>
      <c r="J46" s="42"/>
      <c r="K46" s="44"/>
      <c r="L46" s="43"/>
      <c r="M46" s="44"/>
      <c r="N46" s="111"/>
      <c r="O46" s="111"/>
      <c r="P46" s="112"/>
      <c r="Q46" s="113"/>
      <c r="R46" s="115" t="s">
        <v>118</v>
      </c>
      <c r="S46"/>
      <c r="T46"/>
      <c r="U46"/>
      <c r="V46"/>
      <c r="W46"/>
      <c r="X46" s="53" t="s">
        <v>119</v>
      </c>
      <c r="Y46" s="53" t="s">
        <v>120</v>
      </c>
      <c r="Z46" s="5"/>
      <c r="AA46" s="5"/>
      <c r="AB46" s="15"/>
    </row>
    <row r="47" spans="1:28" x14ac:dyDescent="0.35">
      <c r="A47" s="15"/>
      <c r="B47" s="15"/>
      <c r="C47" s="15"/>
      <c r="D47" s="15"/>
      <c r="E47" s="15"/>
      <c r="F47" s="44"/>
      <c r="G47" s="43"/>
      <c r="H47" s="42"/>
      <c r="I47" s="42"/>
      <c r="J47" s="42"/>
      <c r="K47" s="44"/>
      <c r="L47" s="43"/>
      <c r="M47" s="44"/>
      <c r="N47" s="111"/>
      <c r="O47" s="111"/>
      <c r="P47" s="116" t="s">
        <v>121</v>
      </c>
      <c r="Q47" s="112"/>
      <c r="R47" s="117">
        <f>Q44+J6+I6+F6</f>
        <v>10573.999999999998</v>
      </c>
      <c r="S47"/>
      <c r="T47"/>
      <c r="U47"/>
      <c r="V47"/>
      <c r="W47"/>
      <c r="X47" s="54">
        <f>V44+J6+I6+F6</f>
        <v>4336.16</v>
      </c>
      <c r="Y47" s="54">
        <f>W44+J6+I6+F6</f>
        <v>8590.4599999999991</v>
      </c>
      <c r="Z47" s="51"/>
      <c r="AA47" s="15"/>
      <c r="AB47" s="15"/>
    </row>
    <row r="48" spans="1:28" x14ac:dyDescent="0.35">
      <c r="N48" s="118"/>
      <c r="O48" s="119"/>
      <c r="P48" s="116" t="s">
        <v>122</v>
      </c>
      <c r="Q48" s="118"/>
      <c r="R48" s="120">
        <f>R44+H44+I44+J44</f>
        <v>257888.92999999996</v>
      </c>
      <c r="S48"/>
      <c r="T48"/>
      <c r="U48"/>
      <c r="V48"/>
      <c r="W48"/>
      <c r="X48" s="50">
        <f>X44+H44+I44+J44</f>
        <v>105602.22</v>
      </c>
      <c r="Y48" s="50">
        <f>Y44+H44+I44+J44</f>
        <v>207587.93000000002</v>
      </c>
    </row>
    <row r="49" spans="1:27" x14ac:dyDescent="0.35">
      <c r="A49" s="16"/>
      <c r="N49" s="118"/>
      <c r="O49" s="119"/>
      <c r="P49" s="116" t="s">
        <v>124</v>
      </c>
      <c r="Q49" s="121"/>
      <c r="R49" s="120">
        <f>R48*0.4</f>
        <v>103155.57199999999</v>
      </c>
      <c r="S49"/>
      <c r="T49"/>
      <c r="U49"/>
      <c r="V49"/>
      <c r="W49"/>
      <c r="X49" s="57">
        <f>X48*0.15</f>
        <v>15840.332999999999</v>
      </c>
      <c r="Y49" s="57">
        <f>Y48*0.15</f>
        <v>31138.1895</v>
      </c>
      <c r="Z49" s="41"/>
      <c r="AA49" s="41"/>
    </row>
    <row r="50" spans="1:27" x14ac:dyDescent="0.35">
      <c r="A50" s="17"/>
      <c r="N50" s="118"/>
      <c r="O50" s="119"/>
      <c r="P50" s="116" t="s">
        <v>123</v>
      </c>
      <c r="Q50" s="121"/>
      <c r="R50" s="120">
        <f>R48+R49</f>
        <v>361044.50199999998</v>
      </c>
      <c r="S50"/>
      <c r="T50"/>
      <c r="U50"/>
      <c r="V50"/>
      <c r="W50"/>
      <c r="X50" s="57">
        <f>X48+X49</f>
        <v>121442.553</v>
      </c>
      <c r="Y50" s="57">
        <f>Y48+Y49</f>
        <v>238726.11950000003</v>
      </c>
      <c r="Z50" s="41"/>
      <c r="AA50" s="41"/>
    </row>
    <row r="51" spans="1:27" x14ac:dyDescent="0.35">
      <c r="N51" s="118"/>
      <c r="O51" s="119"/>
      <c r="P51" s="122"/>
      <c r="Q51" s="121"/>
      <c r="R51" s="118"/>
      <c r="S51"/>
      <c r="T51"/>
      <c r="U51"/>
      <c r="V51"/>
      <c r="W51"/>
    </row>
    <row r="52" spans="1:27" x14ac:dyDescent="0.35">
      <c r="N52" s="118"/>
      <c r="O52" s="119"/>
      <c r="P52" s="116" t="s">
        <v>125</v>
      </c>
      <c r="Q52" s="121"/>
      <c r="R52" s="120">
        <f>R14+R16+R17+R19+R20+(R31*0.5)+R32+R33+(R37*0.5)+R41+R43</f>
        <v>77164.635000000009</v>
      </c>
      <c r="S52"/>
      <c r="T52"/>
      <c r="U52"/>
      <c r="V52"/>
      <c r="W52"/>
    </row>
    <row r="53" spans="1:27" x14ac:dyDescent="0.35">
      <c r="N53" s="118"/>
      <c r="O53" s="119"/>
      <c r="P53" s="116" t="s">
        <v>126</v>
      </c>
      <c r="Q53" s="121"/>
      <c r="R53" s="123">
        <f>R52/R48</f>
        <v>0.2992165464411366</v>
      </c>
      <c r="S53"/>
      <c r="T53"/>
      <c r="U53"/>
      <c r="V53"/>
      <c r="W53"/>
    </row>
    <row r="54" spans="1:27" x14ac:dyDescent="0.35">
      <c r="P54" s="52"/>
      <c r="R54" s="58"/>
      <c r="S54" s="58"/>
      <c r="T54" s="58"/>
      <c r="U54" s="58"/>
      <c r="V54" s="58"/>
    </row>
    <row r="55" spans="1:27" x14ac:dyDescent="0.35">
      <c r="P55" s="52"/>
      <c r="R55" s="58"/>
      <c r="S55" s="58"/>
      <c r="T55" s="58"/>
      <c r="U55" s="58"/>
      <c r="V55" s="58"/>
    </row>
  </sheetData>
  <sheetProtection algorithmName="SHA-512" hashValue="qwbki7WKvH1niOOkJGPjSncyKaTrVK6uIeZcV+1mVtMREV8Yy9nywrouetNT2/CMSOu0mYX7rs1ndXqGsbIvJw==" saltValue="wLhCKafY6e0NBYe1SsmusA==" spinCount="100000" sheet="1" objects="1" scenarios="1" selectLockedCells="1"/>
  <mergeCells count="205">
    <mergeCell ref="M40:M41"/>
    <mergeCell ref="M42:M43"/>
    <mergeCell ref="P42:P43"/>
    <mergeCell ref="P40:P41"/>
    <mergeCell ref="M38:M39"/>
    <mergeCell ref="P38:P39"/>
    <mergeCell ref="L38:L39"/>
    <mergeCell ref="L40:L41"/>
    <mergeCell ref="L42:L43"/>
    <mergeCell ref="K38:K39"/>
    <mergeCell ref="Q2:Q7"/>
    <mergeCell ref="R2:R7"/>
    <mergeCell ref="U2:U7"/>
    <mergeCell ref="U15:U17"/>
    <mergeCell ref="U18:U21"/>
    <mergeCell ref="K4:L4"/>
    <mergeCell ref="K5:L5"/>
    <mergeCell ref="K6:L6"/>
    <mergeCell ref="K8:L8"/>
    <mergeCell ref="K10:K11"/>
    <mergeCell ref="P35:P37"/>
    <mergeCell ref="AB2:AB7"/>
    <mergeCell ref="Z2:Z7"/>
    <mergeCell ref="AA2:AA7"/>
    <mergeCell ref="F3:J3"/>
    <mergeCell ref="U22:U23"/>
    <mergeCell ref="U24:U25"/>
    <mergeCell ref="U27:U29"/>
    <mergeCell ref="U30:U33"/>
    <mergeCell ref="U35:U37"/>
    <mergeCell ref="M2:M7"/>
    <mergeCell ref="O2:P7"/>
    <mergeCell ref="F2:L2"/>
    <mergeCell ref="F6:H6"/>
    <mergeCell ref="F5:H5"/>
    <mergeCell ref="N2:N7"/>
    <mergeCell ref="M10:M11"/>
    <mergeCell ref="P10:P11"/>
    <mergeCell ref="K3:L3"/>
    <mergeCell ref="F4:H4"/>
    <mergeCell ref="U10:U11"/>
    <mergeCell ref="L10:L11"/>
    <mergeCell ref="L15:L17"/>
    <mergeCell ref="L35:L37"/>
    <mergeCell ref="M35:M37"/>
    <mergeCell ref="H10:H11"/>
    <mergeCell ref="H15:H17"/>
    <mergeCell ref="H18:H21"/>
    <mergeCell ref="H22:H23"/>
    <mergeCell ref="F8:H8"/>
    <mergeCell ref="K18:K21"/>
    <mergeCell ref="F10:F11"/>
    <mergeCell ref="G10:G11"/>
    <mergeCell ref="F15:F17"/>
    <mergeCell ref="G15:G17"/>
    <mergeCell ref="F18:F21"/>
    <mergeCell ref="G18:G21"/>
    <mergeCell ref="F22:F23"/>
    <mergeCell ref="G22:G23"/>
    <mergeCell ref="B30:B33"/>
    <mergeCell ref="C30:C33"/>
    <mergeCell ref="H27:H29"/>
    <mergeCell ref="H30:H33"/>
    <mergeCell ref="H35:H37"/>
    <mergeCell ref="G27:G29"/>
    <mergeCell ref="G30:G33"/>
    <mergeCell ref="G35:G37"/>
    <mergeCell ref="G38:G43"/>
    <mergeCell ref="H38:H43"/>
    <mergeCell ref="F27:F29"/>
    <mergeCell ref="F30:F33"/>
    <mergeCell ref="F35:F37"/>
    <mergeCell ref="D10:D11"/>
    <mergeCell ref="L22:L23"/>
    <mergeCell ref="A2:A7"/>
    <mergeCell ref="B2:B7"/>
    <mergeCell ref="L18:L21"/>
    <mergeCell ref="E42:E43"/>
    <mergeCell ref="B27:B29"/>
    <mergeCell ref="C27:C29"/>
    <mergeCell ref="D27:D29"/>
    <mergeCell ref="A38:A43"/>
    <mergeCell ref="B38:B43"/>
    <mergeCell ref="C38:C41"/>
    <mergeCell ref="D40:D41"/>
    <mergeCell ref="E40:E41"/>
    <mergeCell ref="C42:C43"/>
    <mergeCell ref="D42:D43"/>
    <mergeCell ref="A27:A29"/>
    <mergeCell ref="D30:D33"/>
    <mergeCell ref="D38:D39"/>
    <mergeCell ref="E38:E39"/>
    <mergeCell ref="D35:D37"/>
    <mergeCell ref="E27:E29"/>
    <mergeCell ref="A35:A37"/>
    <mergeCell ref="A30:A33"/>
    <mergeCell ref="E10:E11"/>
    <mergeCell ref="G24:G25"/>
    <mergeCell ref="A22:A25"/>
    <mergeCell ref="C13:C14"/>
    <mergeCell ref="D13:D14"/>
    <mergeCell ref="B22:B25"/>
    <mergeCell ref="V2:V7"/>
    <mergeCell ref="M15:M17"/>
    <mergeCell ref="M18:M21"/>
    <mergeCell ref="M22:M23"/>
    <mergeCell ref="B10:B11"/>
    <mergeCell ref="E2:E7"/>
    <mergeCell ref="A13:A14"/>
    <mergeCell ref="C22:C25"/>
    <mergeCell ref="A10:A11"/>
    <mergeCell ref="C10:C11"/>
    <mergeCell ref="K22:K23"/>
    <mergeCell ref="A15:A21"/>
    <mergeCell ref="D24:D25"/>
    <mergeCell ref="E24:E25"/>
    <mergeCell ref="D22:D23"/>
    <mergeCell ref="E22:E23"/>
    <mergeCell ref="C2:C7"/>
    <mergeCell ref="D2:D7"/>
    <mergeCell ref="W2:W7"/>
    <mergeCell ref="V10:V11"/>
    <mergeCell ref="V15:V17"/>
    <mergeCell ref="V18:V21"/>
    <mergeCell ref="V22:V23"/>
    <mergeCell ref="V24:V25"/>
    <mergeCell ref="S2:S7"/>
    <mergeCell ref="T2:T7"/>
    <mergeCell ref="P15:P17"/>
    <mergeCell ref="P18:P21"/>
    <mergeCell ref="P22:P23"/>
    <mergeCell ref="W10:W11"/>
    <mergeCell ref="X24:X25"/>
    <mergeCell ref="Y24:Y25"/>
    <mergeCell ref="X27:X29"/>
    <mergeCell ref="E30:E33"/>
    <mergeCell ref="F38:F43"/>
    <mergeCell ref="V38:V39"/>
    <mergeCell ref="V40:V41"/>
    <mergeCell ref="V42:V43"/>
    <mergeCell ref="W15:W17"/>
    <mergeCell ref="W18:W21"/>
    <mergeCell ref="W22:W23"/>
    <mergeCell ref="W24:W25"/>
    <mergeCell ref="W27:W29"/>
    <mergeCell ref="W30:W33"/>
    <mergeCell ref="H24:H25"/>
    <mergeCell ref="K15:K17"/>
    <mergeCell ref="K24:K25"/>
    <mergeCell ref="K35:K37"/>
    <mergeCell ref="K40:K41"/>
    <mergeCell ref="K42:K43"/>
    <mergeCell ref="F24:F25"/>
    <mergeCell ref="U38:U39"/>
    <mergeCell ref="U40:U41"/>
    <mergeCell ref="U42:U43"/>
    <mergeCell ref="B13:B14"/>
    <mergeCell ref="V27:V29"/>
    <mergeCell ref="V30:V33"/>
    <mergeCell ref="E35:E37"/>
    <mergeCell ref="M24:M25"/>
    <mergeCell ref="P24:P25"/>
    <mergeCell ref="P27:P29"/>
    <mergeCell ref="P30:P33"/>
    <mergeCell ref="M27:M29"/>
    <mergeCell ref="M30:M33"/>
    <mergeCell ref="L30:L33"/>
    <mergeCell ref="K30:K33"/>
    <mergeCell ref="K27:K29"/>
    <mergeCell ref="L24:L25"/>
    <mergeCell ref="L27:L29"/>
    <mergeCell ref="V35:V37"/>
    <mergeCell ref="B15:B21"/>
    <mergeCell ref="C15:C21"/>
    <mergeCell ref="D15:D17"/>
    <mergeCell ref="E15:E17"/>
    <mergeCell ref="D18:D21"/>
    <mergeCell ref="E18:E21"/>
    <mergeCell ref="B35:B37"/>
    <mergeCell ref="C35:C37"/>
    <mergeCell ref="W35:W37"/>
    <mergeCell ref="W38:W39"/>
    <mergeCell ref="W40:W41"/>
    <mergeCell ref="W42:W43"/>
    <mergeCell ref="Y27:Y29"/>
    <mergeCell ref="X30:X33"/>
    <mergeCell ref="Y30:Y33"/>
    <mergeCell ref="X35:X37"/>
    <mergeCell ref="Y35:Y37"/>
    <mergeCell ref="X38:X39"/>
    <mergeCell ref="Y38:Y39"/>
    <mergeCell ref="X40:X41"/>
    <mergeCell ref="Y40:Y41"/>
    <mergeCell ref="X42:X43"/>
    <mergeCell ref="Y42:Y43"/>
    <mergeCell ref="X2:X7"/>
    <mergeCell ref="Y2:Y7"/>
    <mergeCell ref="X10:X11"/>
    <mergeCell ref="Y10:Y11"/>
    <mergeCell ref="X15:X17"/>
    <mergeCell ref="Y15:Y17"/>
    <mergeCell ref="X18:X21"/>
    <mergeCell ref="Y18:Y21"/>
    <mergeCell ref="X22:X23"/>
    <mergeCell ref="Y22:Y23"/>
  </mergeCells>
  <printOptions horizontalCentered="1"/>
  <pageMargins left="0.19685039370078741" right="0.19685039370078741" top="0.19685039370078741" bottom="0.19685039370078741" header="0.19685039370078741" footer="0.19685039370078741"/>
  <pageSetup paperSize="8" scale="39" fitToHeight="0" orientation="landscape" r:id="rId1"/>
  <rowBreaks count="1" manualBreakCount="1">
    <brk id="29" max="2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570F-FB5A-4CF1-8C55-FF02EB6B6407}">
  <dimension ref="A1"/>
  <sheetViews>
    <sheetView workbookViewId="0">
      <selection sqref="A1:XFD1048576"/>
    </sheetView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FA81-CC5A-4FE4-BD4A-DE9F1E96C98D}">
  <dimension ref="A1:D7"/>
  <sheetViews>
    <sheetView showGridLines="0" workbookViewId="0">
      <selection sqref="A1:XFD1048576"/>
    </sheetView>
  </sheetViews>
  <sheetFormatPr defaultRowHeight="14.5" x14ac:dyDescent="0.35"/>
  <cols>
    <col min="1" max="1" width="31.54296875" bestFit="1" customWidth="1"/>
    <col min="2" max="4" width="12.1796875" customWidth="1"/>
  </cols>
  <sheetData>
    <row r="1" spans="1:4" ht="26" x14ac:dyDescent="0.35">
      <c r="A1" s="138"/>
      <c r="B1" s="120" t="s">
        <v>118</v>
      </c>
      <c r="C1" s="120" t="s">
        <v>119</v>
      </c>
      <c r="D1" s="120" t="s">
        <v>120</v>
      </c>
    </row>
    <row r="2" spans="1:4" x14ac:dyDescent="0.35">
      <c r="A2" s="137" t="s">
        <v>121</v>
      </c>
      <c r="B2" s="117">
        <f>+'Schema di intervento'!AB8</f>
        <v>10574</v>
      </c>
      <c r="C2" s="124">
        <f>+'Schema di intervento'!V44+'Schema di intervento'!F6+'Schema di intervento'!I6+'Schema di intervento'!J6</f>
        <v>4336.16</v>
      </c>
      <c r="D2" s="124">
        <f>+'Schema di intervento'!W44+'Schema di intervento'!F6+'Schema di intervento'!I6+'Schema di intervento'!J6</f>
        <v>8590.4599999999991</v>
      </c>
    </row>
    <row r="3" spans="1:4" x14ac:dyDescent="0.35">
      <c r="A3" s="137" t="s">
        <v>122</v>
      </c>
      <c r="B3" s="120">
        <f>+'Schema di intervento'!R44+'Schema di intervento'!H44+'Schema di intervento'!I44+'Schema di intervento'!J44</f>
        <v>257888.92999999996</v>
      </c>
      <c r="C3" s="120">
        <f>'Schema di intervento'!X44+'Schema di intervento'!H44+'Schema di intervento'!I44+'Schema di intervento'!J44</f>
        <v>105602.22</v>
      </c>
      <c r="D3" s="120">
        <f>'Schema di intervento'!Y44+'Schema di intervento'!H44+'Schema di intervento'!I44+'Schema di intervento'!J44</f>
        <v>207587.93000000002</v>
      </c>
    </row>
    <row r="4" spans="1:4" x14ac:dyDescent="0.35">
      <c r="A4" s="137" t="s">
        <v>139</v>
      </c>
      <c r="B4" s="120">
        <f t="shared" ref="B4:D4" si="0">B3*0.4</f>
        <v>103155.57199999999</v>
      </c>
      <c r="C4" s="120">
        <f t="shared" si="0"/>
        <v>42240.888000000006</v>
      </c>
      <c r="D4" s="120">
        <f t="shared" si="0"/>
        <v>83035.17200000002</v>
      </c>
    </row>
    <row r="5" spans="1:4" x14ac:dyDescent="0.35">
      <c r="A5" s="137" t="s">
        <v>123</v>
      </c>
      <c r="B5" s="120">
        <f>B3+B4</f>
        <v>361044.50199999998</v>
      </c>
      <c r="C5" s="120">
        <f t="shared" ref="C5:D5" si="1">C3+C4</f>
        <v>147843.10800000001</v>
      </c>
      <c r="D5" s="120">
        <f t="shared" si="1"/>
        <v>290623.10200000007</v>
      </c>
    </row>
    <row r="6" spans="1:4" x14ac:dyDescent="0.35">
      <c r="A6" s="125"/>
      <c r="B6" s="125"/>
      <c r="C6" s="125"/>
      <c r="D6" s="125"/>
    </row>
    <row r="7" spans="1:4" x14ac:dyDescent="0.35">
      <c r="A7" s="137" t="s">
        <v>140</v>
      </c>
      <c r="B7" s="120">
        <f>+'Schema di intervento'!R48+'Schema di intervento'!H48+'Schema di intervento'!I48+'Schema di intervento'!J48</f>
        <v>257888.92999999996</v>
      </c>
      <c r="C7" s="120">
        <f>'Schema di intervento'!X48+'Schema di intervento'!H48+'Schema di intervento'!I48+'Schema di intervento'!J48</f>
        <v>105602.22</v>
      </c>
      <c r="D7" s="120">
        <f>'Schema di intervento'!Y48+'Schema di intervento'!H48+'Schema di intervento'!I48+'Schema di intervento'!J48</f>
        <v>207587.93000000002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workbookViewId="0">
      <selection activeCell="B2" sqref="B2"/>
    </sheetView>
  </sheetViews>
  <sheetFormatPr defaultColWidth="9.1796875" defaultRowHeight="13" x14ac:dyDescent="0.3"/>
  <cols>
    <col min="1" max="1" width="38.1796875" style="37" bestFit="1" customWidth="1"/>
    <col min="2" max="3" width="10.453125" style="37" customWidth="1"/>
    <col min="4" max="4" width="9.1796875" style="37"/>
    <col min="5" max="5" width="53" style="37" bestFit="1" customWidth="1"/>
    <col min="6" max="6" width="9.1796875" style="37"/>
    <col min="7" max="7" width="22" style="37" bestFit="1" customWidth="1"/>
    <col min="8" max="9" width="9.1796875" style="37"/>
    <col min="10" max="10" width="25.1796875" style="37" customWidth="1"/>
    <col min="11" max="16384" width="9.1796875" style="37"/>
  </cols>
  <sheetData>
    <row r="1" spans="1:12" ht="15" customHeight="1" x14ac:dyDescent="0.3">
      <c r="A1" s="219" t="s">
        <v>72</v>
      </c>
      <c r="B1" s="220" t="s">
        <v>73</v>
      </c>
      <c r="C1" s="220"/>
      <c r="D1" s="220"/>
      <c r="E1" s="127" t="s">
        <v>74</v>
      </c>
      <c r="F1" s="128"/>
      <c r="G1" s="220" t="s">
        <v>73</v>
      </c>
      <c r="H1" s="220"/>
      <c r="I1" s="220"/>
      <c r="J1" s="127" t="s">
        <v>74</v>
      </c>
      <c r="K1" s="128"/>
      <c r="L1" s="128"/>
    </row>
    <row r="2" spans="1:12" ht="38.25" customHeight="1" x14ac:dyDescent="0.3">
      <c r="A2" s="219"/>
      <c r="B2" s="126" t="s">
        <v>75</v>
      </c>
      <c r="C2" s="126" t="s">
        <v>76</v>
      </c>
      <c r="D2" s="126" t="s">
        <v>117</v>
      </c>
      <c r="E2" s="129" t="s">
        <v>77</v>
      </c>
      <c r="F2" s="126"/>
      <c r="G2" s="126" t="s">
        <v>75</v>
      </c>
      <c r="H2" s="126" t="s">
        <v>76</v>
      </c>
      <c r="I2" s="126" t="s">
        <v>117</v>
      </c>
      <c r="J2" s="129" t="s">
        <v>77</v>
      </c>
      <c r="K2" s="128"/>
      <c r="L2" s="128"/>
    </row>
    <row r="3" spans="1:12" x14ac:dyDescent="0.3">
      <c r="A3" s="130" t="s">
        <v>78</v>
      </c>
      <c r="B3" s="131">
        <f t="shared" ref="B3:B13" si="0">ROUND(G3,2)</f>
        <v>20.3</v>
      </c>
      <c r="C3" s="132">
        <f t="shared" ref="C3:C13" si="1">ROUND(H3,2)</f>
        <v>19.420000000000002</v>
      </c>
      <c r="D3" s="133">
        <f>C3</f>
        <v>19.420000000000002</v>
      </c>
      <c r="E3" s="134">
        <f>ROUND(J3,2)</f>
        <v>25.91</v>
      </c>
      <c r="F3" s="128"/>
      <c r="G3" s="135">
        <v>20.301428571428573</v>
      </c>
      <c r="H3" s="135">
        <v>19.423333333333332</v>
      </c>
      <c r="I3" s="133">
        <f>H3</f>
        <v>19.423333333333332</v>
      </c>
      <c r="J3" s="133">
        <f>AVERAGE(I10,I9,I8,I11)</f>
        <v>25.911750000000001</v>
      </c>
      <c r="K3" s="128"/>
      <c r="L3" s="128"/>
    </row>
    <row r="4" spans="1:12" x14ac:dyDescent="0.3">
      <c r="A4" s="130" t="s">
        <v>34</v>
      </c>
      <c r="B4" s="132">
        <f t="shared" si="0"/>
        <v>17.86</v>
      </c>
      <c r="C4" s="132">
        <f t="shared" si="1"/>
        <v>16.23</v>
      </c>
      <c r="D4" s="133">
        <f>C4</f>
        <v>16.23</v>
      </c>
      <c r="E4" s="136"/>
      <c r="F4" s="128"/>
      <c r="G4" s="135">
        <v>17.861999999999998</v>
      </c>
      <c r="H4" s="135">
        <v>16.224999999999998</v>
      </c>
      <c r="I4" s="133">
        <f>H4</f>
        <v>16.224999999999998</v>
      </c>
      <c r="J4" s="136"/>
      <c r="K4" s="128"/>
      <c r="L4" s="128"/>
    </row>
    <row r="5" spans="1:12" x14ac:dyDescent="0.3">
      <c r="A5" s="130" t="s">
        <v>79</v>
      </c>
      <c r="B5" s="132">
        <f t="shared" si="0"/>
        <v>25.28</v>
      </c>
      <c r="C5" s="132">
        <f t="shared" si="1"/>
        <v>20.39</v>
      </c>
      <c r="D5" s="133">
        <f>B5</f>
        <v>25.28</v>
      </c>
      <c r="E5" s="133"/>
      <c r="F5" s="128"/>
      <c r="G5" s="135">
        <v>25.280000000000005</v>
      </c>
      <c r="H5" s="135">
        <v>20.384999999999998</v>
      </c>
      <c r="I5" s="133">
        <f>G5</f>
        <v>25.280000000000005</v>
      </c>
      <c r="J5" s="133"/>
      <c r="K5" s="128"/>
      <c r="L5" s="128"/>
    </row>
    <row r="6" spans="1:12" x14ac:dyDescent="0.3">
      <c r="A6" s="130" t="s">
        <v>80</v>
      </c>
      <c r="B6" s="132">
        <f t="shared" si="0"/>
        <v>49.84</v>
      </c>
      <c r="C6" s="132">
        <f t="shared" si="1"/>
        <v>46.05</v>
      </c>
      <c r="D6" s="133">
        <f>C6</f>
        <v>46.05</v>
      </c>
      <c r="E6" s="128"/>
      <c r="F6" s="128"/>
      <c r="G6" s="135">
        <v>49.836906178489706</v>
      </c>
      <c r="H6" s="135">
        <v>46.048888888888897</v>
      </c>
      <c r="I6" s="133">
        <f>H6</f>
        <v>46.048888888888897</v>
      </c>
      <c r="J6" s="128"/>
      <c r="K6" s="128"/>
      <c r="L6" s="128"/>
    </row>
    <row r="7" spans="1:12" x14ac:dyDescent="0.3">
      <c r="A7" s="130" t="s">
        <v>81</v>
      </c>
      <c r="B7" s="132">
        <f t="shared" si="0"/>
        <v>20.59</v>
      </c>
      <c r="C7" s="132">
        <f t="shared" si="1"/>
        <v>23.3</v>
      </c>
      <c r="D7" s="133">
        <f>C7</f>
        <v>23.3</v>
      </c>
      <c r="E7" s="133"/>
      <c r="F7" s="128"/>
      <c r="G7" s="135">
        <v>20.59</v>
      </c>
      <c r="H7" s="135">
        <v>23.297647058823532</v>
      </c>
      <c r="I7" s="133">
        <f>H7</f>
        <v>23.297647058823532</v>
      </c>
      <c r="J7" s="133"/>
      <c r="K7" s="128"/>
      <c r="L7" s="128"/>
    </row>
    <row r="8" spans="1:12" x14ac:dyDescent="0.3">
      <c r="A8" s="130" t="s">
        <v>82</v>
      </c>
      <c r="B8" s="132">
        <f t="shared" si="0"/>
        <v>43.48</v>
      </c>
      <c r="C8" s="132">
        <f t="shared" si="1"/>
        <v>25.44</v>
      </c>
      <c r="D8" s="133">
        <f>C8</f>
        <v>25.44</v>
      </c>
      <c r="E8" s="133"/>
      <c r="F8" s="128"/>
      <c r="G8" s="135">
        <v>43.475999999999999</v>
      </c>
      <c r="H8" s="135">
        <v>25.437000000000001</v>
      </c>
      <c r="I8" s="133">
        <f>H8</f>
        <v>25.437000000000001</v>
      </c>
      <c r="J8" s="133"/>
      <c r="K8" s="128"/>
      <c r="L8" s="128"/>
    </row>
    <row r="9" spans="1:12" x14ac:dyDescent="0.3">
      <c r="A9" s="128" t="s">
        <v>25</v>
      </c>
      <c r="B9" s="132">
        <f t="shared" si="0"/>
        <v>27.12</v>
      </c>
      <c r="C9" s="132">
        <f t="shared" si="1"/>
        <v>21.7</v>
      </c>
      <c r="D9" s="133">
        <f>C9</f>
        <v>21.7</v>
      </c>
      <c r="E9" s="133"/>
      <c r="F9" s="128"/>
      <c r="G9" s="135">
        <v>27.12</v>
      </c>
      <c r="H9" s="135">
        <v>21.7</v>
      </c>
      <c r="I9" s="133">
        <f>H9</f>
        <v>21.7</v>
      </c>
      <c r="J9" s="133"/>
      <c r="K9" s="128"/>
      <c r="L9" s="128"/>
    </row>
    <row r="10" spans="1:12" x14ac:dyDescent="0.3">
      <c r="A10" s="128" t="s">
        <v>83</v>
      </c>
      <c r="B10" s="132">
        <f t="shared" si="0"/>
        <v>27.89</v>
      </c>
      <c r="C10" s="132">
        <f t="shared" si="1"/>
        <v>20.62</v>
      </c>
      <c r="D10" s="133">
        <f>C10</f>
        <v>20.62</v>
      </c>
      <c r="E10" s="133"/>
      <c r="F10" s="128"/>
      <c r="G10" s="135">
        <v>27.89</v>
      </c>
      <c r="H10" s="132">
        <v>20.62</v>
      </c>
      <c r="I10" s="133">
        <f>H10</f>
        <v>20.62</v>
      </c>
      <c r="J10" s="133"/>
      <c r="K10" s="128"/>
      <c r="L10" s="128"/>
    </row>
    <row r="11" spans="1:12" x14ac:dyDescent="0.3">
      <c r="A11" s="128" t="s">
        <v>23</v>
      </c>
      <c r="B11" s="132">
        <f t="shared" si="0"/>
        <v>44.86</v>
      </c>
      <c r="C11" s="132">
        <f t="shared" si="1"/>
        <v>26.92</v>
      </c>
      <c r="D11" s="133">
        <f t="shared" ref="D11" si="2">AVERAGE(B11:C11)</f>
        <v>35.89</v>
      </c>
      <c r="E11" s="133"/>
      <c r="F11" s="128"/>
      <c r="G11" s="135">
        <v>44.86</v>
      </c>
      <c r="H11" s="135">
        <v>26.92</v>
      </c>
      <c r="I11" s="133">
        <f t="shared" ref="I11" si="3">AVERAGE(G11:H11)</f>
        <v>35.89</v>
      </c>
      <c r="J11" s="133"/>
      <c r="K11" s="128"/>
      <c r="L11" s="128"/>
    </row>
    <row r="12" spans="1:12" x14ac:dyDescent="0.3">
      <c r="A12" s="128" t="s">
        <v>68</v>
      </c>
      <c r="B12" s="132">
        <f t="shared" si="0"/>
        <v>28.16</v>
      </c>
      <c r="C12" s="132">
        <f t="shared" si="1"/>
        <v>23.75</v>
      </c>
      <c r="D12" s="133">
        <f>B12</f>
        <v>28.16</v>
      </c>
      <c r="E12" s="133"/>
      <c r="F12" s="128"/>
      <c r="G12" s="135">
        <v>28.16</v>
      </c>
      <c r="H12" s="135">
        <v>23.75</v>
      </c>
      <c r="I12" s="133">
        <f>G12</f>
        <v>28.16</v>
      </c>
      <c r="J12" s="133"/>
      <c r="K12" s="128"/>
      <c r="L12" s="128"/>
    </row>
    <row r="13" spans="1:12" x14ac:dyDescent="0.3">
      <c r="A13" s="128" t="s">
        <v>24</v>
      </c>
      <c r="B13" s="132">
        <f t="shared" si="0"/>
        <v>66.75</v>
      </c>
      <c r="C13" s="132">
        <f t="shared" si="1"/>
        <v>52.05</v>
      </c>
      <c r="D13" s="133">
        <f>B13</f>
        <v>66.75</v>
      </c>
      <c r="E13" s="133"/>
      <c r="F13" s="128"/>
      <c r="G13" s="135">
        <v>66.75</v>
      </c>
      <c r="H13" s="135">
        <v>52.05</v>
      </c>
      <c r="I13" s="133">
        <f>G13</f>
        <v>66.75</v>
      </c>
      <c r="J13" s="133"/>
      <c r="K13" s="128"/>
      <c r="L13" s="128"/>
    </row>
  </sheetData>
  <mergeCells count="3">
    <mergeCell ref="A1:A2"/>
    <mergeCell ref="B1:D1"/>
    <mergeCell ref="G1:I1"/>
  </mergeCells>
  <pageMargins left="0.7" right="0.7" top="0.75" bottom="0.75" header="0.3" footer="0.3"/>
  <pageSetup paperSize="9" orientation="portrait" horizontalDpi="300" verticalDpi="0" r:id="rId1"/>
  <ignoredErrors>
    <ignoredError sqref="D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C52D-D3FF-449E-A9AD-6649EF43BBD0}">
  <dimension ref="A1:F13"/>
  <sheetViews>
    <sheetView workbookViewId="0">
      <selection activeCell="H4" sqref="H4"/>
    </sheetView>
  </sheetViews>
  <sheetFormatPr defaultRowHeight="14.5" x14ac:dyDescent="0.35"/>
  <cols>
    <col min="1" max="1" width="14.1796875" customWidth="1"/>
    <col min="2" max="4" width="14.54296875" customWidth="1"/>
    <col min="6" max="6" width="10.1796875" bestFit="1" customWidth="1"/>
  </cols>
  <sheetData>
    <row r="1" spans="1:6" x14ac:dyDescent="0.35">
      <c r="A1" t="s">
        <v>138</v>
      </c>
    </row>
    <row r="2" spans="1:6" x14ac:dyDescent="0.35">
      <c r="A2" s="61" t="s">
        <v>136</v>
      </c>
      <c r="B2" s="61" t="s">
        <v>130</v>
      </c>
      <c r="C2" s="61" t="s">
        <v>131</v>
      </c>
      <c r="D2" s="61" t="s">
        <v>132</v>
      </c>
    </row>
    <row r="3" spans="1:6" ht="29" x14ac:dyDescent="0.35">
      <c r="A3" s="62" t="s">
        <v>133</v>
      </c>
      <c r="B3" s="60">
        <f>'Schema di intervento'!S44+'Schema di intervento'!H44+'Schema di intervento'!I44+'Schema di intervento'!J44</f>
        <v>180724.3</v>
      </c>
      <c r="C3" s="60">
        <f>'Schema di intervento'!T44</f>
        <v>77164.640000000014</v>
      </c>
      <c r="D3" s="60">
        <f>B3+C3</f>
        <v>257888.94</v>
      </c>
      <c r="F3" s="64">
        <f>C5/D3</f>
        <v>0.29921655422679239</v>
      </c>
    </row>
    <row r="4" spans="1:6" x14ac:dyDescent="0.35">
      <c r="A4" s="63" t="s">
        <v>134</v>
      </c>
      <c r="B4" s="60">
        <f>D3*15%</f>
        <v>38683.341</v>
      </c>
      <c r="C4" s="60"/>
      <c r="D4" s="60">
        <f t="shared" ref="D4" si="0">D3*15%</f>
        <v>38683.341</v>
      </c>
      <c r="F4" s="64">
        <f>C5/D5</f>
        <v>0.26018830802329773</v>
      </c>
    </row>
    <row r="5" spans="1:6" x14ac:dyDescent="0.35">
      <c r="A5" s="63" t="s">
        <v>135</v>
      </c>
      <c r="B5" s="60">
        <f>B3+B4</f>
        <v>219407.641</v>
      </c>
      <c r="C5" s="60">
        <f t="shared" ref="C5:D5" si="1">C3+C4</f>
        <v>77164.640000000014</v>
      </c>
      <c r="D5" s="60">
        <f t="shared" si="1"/>
        <v>296572.28100000002</v>
      </c>
    </row>
    <row r="9" spans="1:6" x14ac:dyDescent="0.35">
      <c r="A9" t="s">
        <v>137</v>
      </c>
    </row>
    <row r="10" spans="1:6" x14ac:dyDescent="0.35">
      <c r="A10" s="61" t="s">
        <v>136</v>
      </c>
      <c r="B10" s="61" t="s">
        <v>130</v>
      </c>
      <c r="C10" s="61" t="s">
        <v>131</v>
      </c>
      <c r="D10" s="61" t="s">
        <v>132</v>
      </c>
    </row>
    <row r="11" spans="1:6" ht="29" x14ac:dyDescent="0.35">
      <c r="A11" s="62" t="s">
        <v>133</v>
      </c>
      <c r="B11" s="60">
        <f>B3*150%</f>
        <v>271086.44999999995</v>
      </c>
      <c r="C11" s="60">
        <f>C3*150%</f>
        <v>115746.96000000002</v>
      </c>
      <c r="D11" s="60">
        <f>B11+C11</f>
        <v>386833.41</v>
      </c>
      <c r="F11" s="64">
        <f>C13/D13</f>
        <v>0.26018830802329773</v>
      </c>
    </row>
    <row r="12" spans="1:6" x14ac:dyDescent="0.35">
      <c r="A12" s="63" t="s">
        <v>134</v>
      </c>
      <c r="B12" s="60">
        <f>D11*15%</f>
        <v>58025.011499999993</v>
      </c>
      <c r="C12" s="60"/>
      <c r="D12" s="60"/>
    </row>
    <row r="13" spans="1:6" x14ac:dyDescent="0.35">
      <c r="A13" s="63" t="s">
        <v>135</v>
      </c>
      <c r="B13" s="60">
        <f>B11+B12</f>
        <v>329111.46149999998</v>
      </c>
      <c r="C13" s="60">
        <f>C11+C12</f>
        <v>115746.96000000002</v>
      </c>
      <c r="D13" s="60">
        <f>B13+C13</f>
        <v>444858.4215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3</vt:i4>
      </vt:variant>
    </vt:vector>
  </HeadingPairs>
  <TitlesOfParts>
    <vt:vector size="9" baseType="lpstr">
      <vt:lpstr>Tipologie di intervento</vt:lpstr>
      <vt:lpstr>Schema di intervento</vt:lpstr>
      <vt:lpstr>Foglio1</vt:lpstr>
      <vt:lpstr>Foglio 2</vt:lpstr>
      <vt:lpstr>Foglio 3</vt:lpstr>
      <vt:lpstr>Ripartizione costi</vt:lpstr>
      <vt:lpstr>'Schema di intervento'!Area_stampa</vt:lpstr>
      <vt:lpstr>'Tipologie di intervento'!Area_stampa</vt:lpstr>
      <vt:lpstr>'Schema di intervento'!Titoli_stampa</vt:lpstr>
    </vt:vector>
  </TitlesOfParts>
  <Manager>*</Manager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Salvatore Favella</cp:lastModifiedBy>
  <cp:lastPrinted>2024-03-21T15:31:07Z</cp:lastPrinted>
  <dcterms:created xsi:type="dcterms:W3CDTF">2019-06-21T08:32:43Z</dcterms:created>
  <dcterms:modified xsi:type="dcterms:W3CDTF">2024-04-04T09:16:44Z</dcterms:modified>
</cp:coreProperties>
</file>